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.1\ufficio\FILE PER CALCOLI SPEDIZIONI\"/>
    </mc:Choice>
  </mc:AlternateContent>
  <bookViews>
    <workbookView xWindow="0" yWindow="0" windowWidth="19200" windowHeight="7035"/>
  </bookViews>
  <sheets>
    <sheet name="RISULTATI SPEDIZIONE" sheetId="7" r:id="rId1"/>
    <sheet name="SCATOLE E DIMENSIONI" sheetId="1" r:id="rId2"/>
    <sheet name="DATA BASE OTTIMIZZAZIONE PALLET" sheetId="5" r:id="rId3"/>
    <sheet name="DATA BASE CALCOLO VOLUMI" sheetId="6" r:id="rId4"/>
    <sheet name="RIEMPIRE CON SCAT. NATALINI" sheetId="3" r:id="rId5"/>
    <sheet name="Foglio4" sheetId="9" r:id="rId6"/>
    <sheet name="RIEMPIRE CON SCAT. NEUTRE" sheetId="4" r:id="rId7"/>
    <sheet name="DIMENSIONI" sheetId="2" r:id="rId8"/>
  </sheets>
  <definedNames>
    <definedName name="_xlnm.Print_Area" localSheetId="7">DIMENSIONI!$B$2:$E$56</definedName>
    <definedName name="_xlnm.Print_Area" localSheetId="4">'RIEMPIRE CON SCAT. NATALINI'!$A$1:$P$81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B4" i="9" l="1"/>
  <c r="D21" i="6"/>
  <c r="D22" i="6"/>
  <c r="D20" i="6"/>
  <c r="G23" i="6"/>
  <c r="R22" i="1"/>
  <c r="S21" i="1"/>
  <c r="R21" i="1"/>
  <c r="S22" i="1"/>
  <c r="N22" i="1"/>
  <c r="N21" i="1"/>
  <c r="M22" i="1"/>
  <c r="L22" i="1"/>
  <c r="M21" i="1"/>
  <c r="L21" i="1"/>
  <c r="I21" i="1" l="1"/>
  <c r="H21" i="1"/>
  <c r="G21" i="1"/>
  <c r="G22" i="1"/>
  <c r="H22" i="1"/>
  <c r="I22" i="1"/>
  <c r="D22" i="1"/>
  <c r="D21" i="1"/>
  <c r="C21" i="1"/>
  <c r="B22" i="1"/>
  <c r="B21" i="1"/>
  <c r="R26" i="1"/>
  <c r="R30" i="1" s="1"/>
  <c r="Q22" i="1"/>
  <c r="Q26" i="1" s="1"/>
  <c r="Q30" i="1" s="1"/>
  <c r="Q21" i="1"/>
  <c r="S25" i="1"/>
  <c r="S29" i="1" s="1"/>
  <c r="Q36" i="1"/>
  <c r="F26" i="7" s="1"/>
  <c r="D10" i="6"/>
  <c r="D11" i="6"/>
  <c r="D9" i="6"/>
  <c r="P25" i="6"/>
  <c r="P24" i="6"/>
  <c r="P23" i="6"/>
  <c r="P22" i="6"/>
  <c r="P21" i="6"/>
  <c r="P20" i="6"/>
  <c r="P19" i="6"/>
  <c r="P18" i="6"/>
  <c r="P17" i="6"/>
  <c r="P16" i="6"/>
  <c r="L36" i="1"/>
  <c r="F19" i="7" s="1"/>
  <c r="G36" i="1"/>
  <c r="F12" i="7" s="1"/>
  <c r="B36" i="1"/>
  <c r="F5" i="7" s="1"/>
  <c r="Q25" i="1" l="1"/>
  <c r="Q29" i="1" s="1"/>
  <c r="R25" i="1"/>
  <c r="R29" i="1" s="1"/>
  <c r="S26" i="1"/>
  <c r="S30" i="1" s="1"/>
  <c r="Q23" i="1"/>
  <c r="D15" i="6"/>
  <c r="D16" i="6"/>
  <c r="D14" i="6"/>
  <c r="C19" i="6"/>
  <c r="M25" i="6"/>
  <c r="N25" i="6"/>
  <c r="L25" i="6"/>
  <c r="L22" i="6"/>
  <c r="M22" i="6"/>
  <c r="O22" i="6" s="1"/>
  <c r="N22" i="6"/>
  <c r="L23" i="6"/>
  <c r="M23" i="6"/>
  <c r="N23" i="6"/>
  <c r="L24" i="6"/>
  <c r="M24" i="6"/>
  <c r="N24" i="6"/>
  <c r="M21" i="6"/>
  <c r="N21" i="6"/>
  <c r="L21" i="6"/>
  <c r="L17" i="6"/>
  <c r="M17" i="6"/>
  <c r="O17" i="6" s="1"/>
  <c r="N17" i="6"/>
  <c r="L18" i="6"/>
  <c r="M18" i="6"/>
  <c r="N18" i="6"/>
  <c r="L19" i="6"/>
  <c r="M19" i="6"/>
  <c r="N19" i="6"/>
  <c r="L20" i="6"/>
  <c r="M20" i="6"/>
  <c r="N20" i="6"/>
  <c r="M16" i="6"/>
  <c r="N16" i="6"/>
  <c r="L16" i="6"/>
  <c r="D2" i="6"/>
  <c r="D3" i="6"/>
  <c r="D4" i="6"/>
  <c r="Q27" i="1" l="1"/>
  <c r="Q31" i="1" s="1"/>
  <c r="Q35" i="1" s="1"/>
  <c r="H26" i="7" s="1"/>
  <c r="O20" i="6"/>
  <c r="O19" i="6"/>
  <c r="O23" i="6"/>
  <c r="O25" i="6"/>
  <c r="O21" i="6"/>
  <c r="O24" i="6"/>
  <c r="O18" i="6"/>
  <c r="O16" i="6"/>
  <c r="G7" i="5"/>
  <c r="F7" i="5"/>
  <c r="F6" i="5"/>
  <c r="F5" i="5"/>
  <c r="E7" i="5"/>
  <c r="E5" i="5"/>
  <c r="C7" i="5"/>
  <c r="C35" i="5"/>
  <c r="C34" i="5"/>
  <c r="C33" i="5"/>
  <c r="C32" i="5"/>
  <c r="C31" i="5"/>
  <c r="C30" i="5"/>
  <c r="C29" i="5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E35" i="5"/>
  <c r="E34" i="5"/>
  <c r="E33" i="5"/>
  <c r="E32" i="5"/>
  <c r="E31" i="5"/>
  <c r="E30" i="5"/>
  <c r="E29" i="5"/>
  <c r="E19" i="5"/>
  <c r="E18" i="5"/>
  <c r="E17" i="5"/>
  <c r="E16" i="5"/>
  <c r="E15" i="5"/>
  <c r="E14" i="5"/>
  <c r="D35" i="5"/>
  <c r="D34" i="5"/>
  <c r="D33" i="5"/>
  <c r="D32" i="5"/>
  <c r="D31" i="5"/>
  <c r="D30" i="5"/>
  <c r="D27" i="5"/>
  <c r="D26" i="5"/>
  <c r="D25" i="5"/>
  <c r="D24" i="5"/>
  <c r="D23" i="5"/>
  <c r="D22" i="5"/>
  <c r="D19" i="5"/>
  <c r="D18" i="5"/>
  <c r="D17" i="5"/>
  <c r="D16" i="5"/>
  <c r="D15" i="5"/>
  <c r="E6" i="5"/>
  <c r="E26" i="5" s="1"/>
  <c r="C6" i="5"/>
  <c r="C5" i="5"/>
  <c r="G10" i="5"/>
  <c r="G9" i="5"/>
  <c r="G8" i="5"/>
  <c r="Q37" i="1" l="1"/>
  <c r="I48" i="5"/>
  <c r="J48" i="5" s="1"/>
  <c r="K48" i="5" s="1"/>
  <c r="E23" i="5"/>
  <c r="E25" i="5"/>
  <c r="E27" i="5"/>
  <c r="E24" i="5"/>
  <c r="E21" i="5"/>
  <c r="E22" i="5"/>
  <c r="L48" i="5" l="1"/>
  <c r="M48" i="5" s="1"/>
  <c r="O48" i="5" s="1"/>
  <c r="B20" i="6" s="1"/>
  <c r="N25" i="1"/>
  <c r="N29" i="1" s="1"/>
  <c r="L26" i="1"/>
  <c r="L30" i="1" s="1"/>
  <c r="B25" i="1"/>
  <c r="B29" i="1" s="1"/>
  <c r="C26" i="1"/>
  <c r="C30" i="1" s="1"/>
  <c r="C25" i="1"/>
  <c r="C29" i="1" s="1"/>
  <c r="I25" i="1"/>
  <c r="I29" i="1" s="1"/>
  <c r="H25" i="1"/>
  <c r="H29" i="1" s="1"/>
  <c r="G25" i="1"/>
  <c r="G29" i="1" s="1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D144" i="2"/>
  <c r="F143" i="2"/>
  <c r="F142" i="2"/>
  <c r="F141" i="2"/>
  <c r="F140" i="2"/>
  <c r="F139" i="2"/>
  <c r="F138" i="2"/>
  <c r="E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D108" i="2"/>
  <c r="F107" i="2"/>
  <c r="F106" i="2"/>
  <c r="F105" i="2"/>
  <c r="F104" i="2"/>
  <c r="F103" i="2"/>
  <c r="F102" i="2"/>
  <c r="F101" i="2"/>
  <c r="F100" i="2"/>
  <c r="D100" i="2"/>
  <c r="F99" i="2"/>
  <c r="F98" i="2"/>
  <c r="F97" i="2"/>
  <c r="F96" i="2"/>
  <c r="F95" i="2"/>
  <c r="F94" i="2"/>
  <c r="F93" i="2"/>
  <c r="F92" i="2"/>
  <c r="D92" i="2"/>
  <c r="F91" i="2"/>
  <c r="F90" i="2"/>
  <c r="F89" i="2"/>
  <c r="F88" i="2"/>
  <c r="F87" i="2"/>
  <c r="F86" i="2"/>
  <c r="F85" i="2"/>
  <c r="F84" i="2"/>
  <c r="E84" i="2"/>
  <c r="D84" i="2"/>
  <c r="F83" i="2"/>
  <c r="F82" i="2"/>
  <c r="E82" i="2"/>
  <c r="F81" i="2"/>
  <c r="F80" i="2"/>
  <c r="F79" i="2"/>
  <c r="F78" i="2"/>
  <c r="F77" i="2"/>
  <c r="F76" i="2"/>
  <c r="F75" i="2"/>
  <c r="F74" i="2"/>
  <c r="F73" i="2"/>
  <c r="D73" i="2"/>
  <c r="F72" i="2"/>
  <c r="F71" i="2"/>
  <c r="F70" i="2"/>
  <c r="F69" i="2"/>
  <c r="D69" i="2"/>
  <c r="F68" i="2"/>
  <c r="F67" i="2"/>
  <c r="F66" i="2"/>
  <c r="F65" i="2"/>
  <c r="D65" i="2"/>
  <c r="F64" i="2"/>
  <c r="F63" i="2"/>
  <c r="F62" i="2"/>
  <c r="F61" i="2"/>
  <c r="D61" i="2"/>
  <c r="F60" i="2"/>
  <c r="F59" i="2"/>
  <c r="F58" i="2"/>
  <c r="F57" i="2"/>
  <c r="D57" i="2"/>
  <c r="E56" i="2"/>
  <c r="E130" i="2" s="1"/>
  <c r="D56" i="2"/>
  <c r="D148" i="2" s="1"/>
  <c r="E55" i="2"/>
  <c r="D55" i="2"/>
  <c r="D379" i="2" s="1"/>
  <c r="E54" i="2"/>
  <c r="D54" i="2"/>
  <c r="E53" i="2"/>
  <c r="D53" i="2"/>
  <c r="E52" i="2"/>
  <c r="D52" i="2"/>
  <c r="E51" i="2"/>
  <c r="D51" i="2"/>
  <c r="D267" i="2" s="1"/>
  <c r="E50" i="2"/>
  <c r="E121" i="2" s="1"/>
  <c r="D50" i="2"/>
  <c r="D81" i="2" s="1"/>
  <c r="E49" i="2"/>
  <c r="D49" i="2"/>
  <c r="D103" i="2" s="1"/>
  <c r="E48" i="2"/>
  <c r="D48" i="2"/>
  <c r="E47" i="2"/>
  <c r="D47" i="2"/>
  <c r="D95" i="2" s="1"/>
  <c r="E46" i="2"/>
  <c r="D46" i="2"/>
  <c r="E45" i="2"/>
  <c r="D45" i="2"/>
  <c r="D363" i="2" s="1"/>
  <c r="E44" i="2"/>
  <c r="D44" i="2"/>
  <c r="E43" i="2"/>
  <c r="D43" i="2"/>
  <c r="E42" i="2"/>
  <c r="D42" i="2"/>
  <c r="E41" i="2"/>
  <c r="D41" i="2"/>
  <c r="D251" i="2" s="1"/>
  <c r="E40" i="2"/>
  <c r="D40" i="2"/>
  <c r="E39" i="2"/>
  <c r="D39" i="2"/>
  <c r="D87" i="2" s="1"/>
  <c r="E38" i="2"/>
  <c r="D38" i="2"/>
  <c r="E37" i="2"/>
  <c r="D37" i="2"/>
  <c r="E36" i="2"/>
  <c r="D36" i="2"/>
  <c r="E35" i="2"/>
  <c r="D35" i="2"/>
  <c r="D299" i="2" s="1"/>
  <c r="E34" i="2"/>
  <c r="D34" i="2"/>
  <c r="E33" i="2"/>
  <c r="D33" i="2"/>
  <c r="E32" i="2"/>
  <c r="D32" i="2"/>
  <c r="E31" i="2"/>
  <c r="D31" i="2"/>
  <c r="D79" i="2" s="1"/>
  <c r="E30" i="2"/>
  <c r="D30" i="2"/>
  <c r="E29" i="2"/>
  <c r="D29" i="2"/>
  <c r="D347" i="2" s="1"/>
  <c r="E28" i="2"/>
  <c r="D28" i="2"/>
  <c r="E27" i="2"/>
  <c r="D27" i="2"/>
  <c r="D129" i="2" s="1"/>
  <c r="E26" i="2"/>
  <c r="D26" i="2"/>
  <c r="E25" i="2"/>
  <c r="D25" i="2"/>
  <c r="E24" i="2"/>
  <c r="D24" i="2"/>
  <c r="E23" i="2"/>
  <c r="D23" i="2"/>
  <c r="F22" i="2"/>
  <c r="E22" i="2"/>
  <c r="D22" i="2"/>
  <c r="F21" i="2"/>
  <c r="E21" i="2"/>
  <c r="D21" i="2"/>
  <c r="F20" i="2"/>
  <c r="E20" i="2"/>
  <c r="E122" i="2" s="1"/>
  <c r="D20" i="2"/>
  <c r="F19" i="2"/>
  <c r="E19" i="2"/>
  <c r="D19" i="2"/>
  <c r="D283" i="2" s="1"/>
  <c r="F18" i="2"/>
  <c r="E18" i="2"/>
  <c r="D18" i="2"/>
  <c r="F17" i="2"/>
  <c r="E17" i="2"/>
  <c r="D17" i="2"/>
  <c r="F16" i="2"/>
  <c r="E16" i="2"/>
  <c r="E64" i="2" s="1"/>
  <c r="D16" i="2"/>
  <c r="F15" i="2"/>
  <c r="E15" i="2"/>
  <c r="D15" i="2"/>
  <c r="F14" i="2"/>
  <c r="E14" i="2"/>
  <c r="D14" i="2"/>
  <c r="F13" i="2"/>
  <c r="E13" i="2"/>
  <c r="D13" i="2"/>
  <c r="F12" i="2"/>
  <c r="E12" i="2"/>
  <c r="E114" i="2" s="1"/>
  <c r="D12" i="2"/>
  <c r="F11" i="2"/>
  <c r="E11" i="2"/>
  <c r="D11" i="2"/>
  <c r="D113" i="2" s="1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E72" i="2" s="1"/>
  <c r="D4" i="2"/>
  <c r="F3" i="2"/>
  <c r="E3" i="2"/>
  <c r="D3" i="2"/>
  <c r="H20" i="6" l="1"/>
  <c r="F20" i="6"/>
  <c r="D26" i="7" s="1"/>
  <c r="G20" i="6"/>
  <c r="I51" i="5"/>
  <c r="O49" i="5"/>
  <c r="I53" i="5"/>
  <c r="O50" i="5"/>
  <c r="P48" i="5"/>
  <c r="C20" i="6" s="1"/>
  <c r="E20" i="6" s="1"/>
  <c r="C26" i="7" s="1"/>
  <c r="E117" i="2"/>
  <c r="E125" i="2"/>
  <c r="E133" i="2"/>
  <c r="E81" i="2"/>
  <c r="E85" i="2"/>
  <c r="E141" i="2"/>
  <c r="E89" i="2"/>
  <c r="E93" i="2"/>
  <c r="E101" i="2"/>
  <c r="E109" i="2"/>
  <c r="E57" i="2"/>
  <c r="E61" i="2"/>
  <c r="E65" i="2"/>
  <c r="E69" i="2"/>
  <c r="E73" i="2"/>
  <c r="E77" i="2"/>
  <c r="E90" i="2"/>
  <c r="E92" i="2"/>
  <c r="E98" i="2"/>
  <c r="E100" i="2"/>
  <c r="E106" i="2"/>
  <c r="E108" i="2"/>
  <c r="E132" i="2"/>
  <c r="E78" i="2"/>
  <c r="D399" i="2"/>
  <c r="D60" i="2"/>
  <c r="D64" i="2"/>
  <c r="D68" i="2"/>
  <c r="D72" i="2"/>
  <c r="D76" i="2"/>
  <c r="E116" i="2"/>
  <c r="D152" i="2"/>
  <c r="D331" i="2"/>
  <c r="E234" i="2"/>
  <c r="E58" i="2"/>
  <c r="E62" i="2"/>
  <c r="E66" i="2"/>
  <c r="E70" i="2"/>
  <c r="E74" i="2"/>
  <c r="E76" i="2"/>
  <c r="E86" i="2"/>
  <c r="D89" i="2"/>
  <c r="D97" i="2"/>
  <c r="D105" i="2"/>
  <c r="E124" i="2"/>
  <c r="E140" i="2"/>
  <c r="D395" i="2"/>
  <c r="G26" i="1"/>
  <c r="G30" i="1" s="1"/>
  <c r="I26" i="1"/>
  <c r="I30" i="1" s="1"/>
  <c r="M26" i="1"/>
  <c r="M30" i="1" s="1"/>
  <c r="D25" i="1"/>
  <c r="D29" i="1" s="1"/>
  <c r="L25" i="1"/>
  <c r="L29" i="1" s="1"/>
  <c r="B26" i="1"/>
  <c r="B30" i="1" s="1"/>
  <c r="D26" i="1"/>
  <c r="D30" i="1" s="1"/>
  <c r="H26" i="1"/>
  <c r="H30" i="1" s="1"/>
  <c r="M25" i="1"/>
  <c r="M29" i="1" s="1"/>
  <c r="N26" i="1"/>
  <c r="N30" i="1" s="1"/>
  <c r="G23" i="1"/>
  <c r="L23" i="1"/>
  <c r="B23" i="1"/>
  <c r="D137" i="2"/>
  <c r="D122" i="2"/>
  <c r="D118" i="2"/>
  <c r="D114" i="2"/>
  <c r="D98" i="2"/>
  <c r="D94" i="2"/>
  <c r="D90" i="2"/>
  <c r="D86" i="2"/>
  <c r="D82" i="2"/>
  <c r="E60" i="2"/>
  <c r="D63" i="2"/>
  <c r="D67" i="2"/>
  <c r="E68" i="2"/>
  <c r="D71" i="2"/>
  <c r="D75" i="2"/>
  <c r="D80" i="2"/>
  <c r="D83" i="2"/>
  <c r="D88" i="2"/>
  <c r="D91" i="2"/>
  <c r="E94" i="2"/>
  <c r="D96" i="2"/>
  <c r="E97" i="2"/>
  <c r="D99" i="2"/>
  <c r="E102" i="2"/>
  <c r="D104" i="2"/>
  <c r="E105" i="2"/>
  <c r="D107" i="2"/>
  <c r="E110" i="2"/>
  <c r="D112" i="2"/>
  <c r="E113" i="2"/>
  <c r="D115" i="2"/>
  <c r="E118" i="2"/>
  <c r="D120" i="2"/>
  <c r="D123" i="2"/>
  <c r="E126" i="2"/>
  <c r="D128" i="2"/>
  <c r="E129" i="2"/>
  <c r="D131" i="2"/>
  <c r="E134" i="2"/>
  <c r="D136" i="2"/>
  <c r="E137" i="2"/>
  <c r="D139" i="2"/>
  <c r="E142" i="2"/>
  <c r="E146" i="2"/>
  <c r="E150" i="2"/>
  <c r="E154" i="2"/>
  <c r="D157" i="2"/>
  <c r="E162" i="2"/>
  <c r="D165" i="2"/>
  <c r="E170" i="2"/>
  <c r="D173" i="2"/>
  <c r="E178" i="2"/>
  <c r="D181" i="2"/>
  <c r="E186" i="2"/>
  <c r="D189" i="2"/>
  <c r="E194" i="2"/>
  <c r="D197" i="2"/>
  <c r="E202" i="2"/>
  <c r="D205" i="2"/>
  <c r="E210" i="2"/>
  <c r="D213" i="2"/>
  <c r="E218" i="2"/>
  <c r="D221" i="2"/>
  <c r="E226" i="2"/>
  <c r="D229" i="2"/>
  <c r="D237" i="2"/>
  <c r="D255" i="2"/>
  <c r="D271" i="2"/>
  <c r="D287" i="2"/>
  <c r="D303" i="2"/>
  <c r="D319" i="2"/>
  <c r="D335" i="2"/>
  <c r="D351" i="2"/>
  <c r="D367" i="2"/>
  <c r="D383" i="2"/>
  <c r="D121" i="2"/>
  <c r="D315" i="2"/>
  <c r="D408" i="2"/>
  <c r="D404" i="2"/>
  <c r="D400" i="2"/>
  <c r="D396" i="2"/>
  <c r="D392" i="2"/>
  <c r="D388" i="2"/>
  <c r="D384" i="2"/>
  <c r="D380" i="2"/>
  <c r="D376" i="2"/>
  <c r="D372" i="2"/>
  <c r="D368" i="2"/>
  <c r="D364" i="2"/>
  <c r="D360" i="2"/>
  <c r="D356" i="2"/>
  <c r="D352" i="2"/>
  <c r="D348" i="2"/>
  <c r="D344" i="2"/>
  <c r="D340" i="2"/>
  <c r="D336" i="2"/>
  <c r="D332" i="2"/>
  <c r="D328" i="2"/>
  <c r="D324" i="2"/>
  <c r="D320" i="2"/>
  <c r="D316" i="2"/>
  <c r="D312" i="2"/>
  <c r="D308" i="2"/>
  <c r="D304" i="2"/>
  <c r="D300" i="2"/>
  <c r="D296" i="2"/>
  <c r="D292" i="2"/>
  <c r="D288" i="2"/>
  <c r="D284" i="2"/>
  <c r="D280" i="2"/>
  <c r="D276" i="2"/>
  <c r="D272" i="2"/>
  <c r="D268" i="2"/>
  <c r="D264" i="2"/>
  <c r="D260" i="2"/>
  <c r="D256" i="2"/>
  <c r="D252" i="2"/>
  <c r="D248" i="2"/>
  <c r="D244" i="2"/>
  <c r="D409" i="2"/>
  <c r="D405" i="2"/>
  <c r="D401" i="2"/>
  <c r="D397" i="2"/>
  <c r="D393" i="2"/>
  <c r="D389" i="2"/>
  <c r="D385" i="2"/>
  <c r="D381" i="2"/>
  <c r="D377" i="2"/>
  <c r="D373" i="2"/>
  <c r="D369" i="2"/>
  <c r="D365" i="2"/>
  <c r="D361" i="2"/>
  <c r="D357" i="2"/>
  <c r="D353" i="2"/>
  <c r="D349" i="2"/>
  <c r="D345" i="2"/>
  <c r="D341" i="2"/>
  <c r="D337" i="2"/>
  <c r="D333" i="2"/>
  <c r="D329" i="2"/>
  <c r="D325" i="2"/>
  <c r="D321" i="2"/>
  <c r="D317" i="2"/>
  <c r="D313" i="2"/>
  <c r="D309" i="2"/>
  <c r="D305" i="2"/>
  <c r="D301" i="2"/>
  <c r="D297" i="2"/>
  <c r="D293" i="2"/>
  <c r="D289" i="2"/>
  <c r="D285" i="2"/>
  <c r="D281" i="2"/>
  <c r="D277" i="2"/>
  <c r="D273" i="2"/>
  <c r="D269" i="2"/>
  <c r="D265" i="2"/>
  <c r="D261" i="2"/>
  <c r="D257" i="2"/>
  <c r="D253" i="2"/>
  <c r="D249" i="2"/>
  <c r="D245" i="2"/>
  <c r="D238" i="2"/>
  <c r="D234" i="2"/>
  <c r="D230" i="2"/>
  <c r="D226" i="2"/>
  <c r="D222" i="2"/>
  <c r="D218" i="2"/>
  <c r="D214" i="2"/>
  <c r="D210" i="2"/>
  <c r="D206" i="2"/>
  <c r="D202" i="2"/>
  <c r="D198" i="2"/>
  <c r="D194" i="2"/>
  <c r="D190" i="2"/>
  <c r="D186" i="2"/>
  <c r="D182" i="2"/>
  <c r="D178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10" i="2"/>
  <c r="D106" i="2"/>
  <c r="D102" i="2"/>
  <c r="D78" i="2"/>
  <c r="D410" i="2"/>
  <c r="D406" i="2"/>
  <c r="D402" i="2"/>
  <c r="D398" i="2"/>
  <c r="D394" i="2"/>
  <c r="D390" i="2"/>
  <c r="D386" i="2"/>
  <c r="D382" i="2"/>
  <c r="D378" i="2"/>
  <c r="D374" i="2"/>
  <c r="D370" i="2"/>
  <c r="D366" i="2"/>
  <c r="D362" i="2"/>
  <c r="D358" i="2"/>
  <c r="D354" i="2"/>
  <c r="D350" i="2"/>
  <c r="D346" i="2"/>
  <c r="D342" i="2"/>
  <c r="D338" i="2"/>
  <c r="D334" i="2"/>
  <c r="D330" i="2"/>
  <c r="D326" i="2"/>
  <c r="D322" i="2"/>
  <c r="D318" i="2"/>
  <c r="D314" i="2"/>
  <c r="D310" i="2"/>
  <c r="D306" i="2"/>
  <c r="D302" i="2"/>
  <c r="D298" i="2"/>
  <c r="D294" i="2"/>
  <c r="D290" i="2"/>
  <c r="D286" i="2"/>
  <c r="D282" i="2"/>
  <c r="D278" i="2"/>
  <c r="D274" i="2"/>
  <c r="D270" i="2"/>
  <c r="D266" i="2"/>
  <c r="D262" i="2"/>
  <c r="D258" i="2"/>
  <c r="D254" i="2"/>
  <c r="D250" i="2"/>
  <c r="D246" i="2"/>
  <c r="D242" i="2"/>
  <c r="D239" i="2"/>
  <c r="D235" i="2"/>
  <c r="D231" i="2"/>
  <c r="D227" i="2"/>
  <c r="D223" i="2"/>
  <c r="D219" i="2"/>
  <c r="D215" i="2"/>
  <c r="D211" i="2"/>
  <c r="D207" i="2"/>
  <c r="D203" i="2"/>
  <c r="D199" i="2"/>
  <c r="D195" i="2"/>
  <c r="D191" i="2"/>
  <c r="D187" i="2"/>
  <c r="D183" i="2"/>
  <c r="D179" i="2"/>
  <c r="D175" i="2"/>
  <c r="D171" i="2"/>
  <c r="D167" i="2"/>
  <c r="D163" i="2"/>
  <c r="D159" i="2"/>
  <c r="D155" i="2"/>
  <c r="D151" i="2"/>
  <c r="D147" i="2"/>
  <c r="D143" i="2"/>
  <c r="D240" i="2"/>
  <c r="D236" i="2"/>
  <c r="D232" i="2"/>
  <c r="D228" i="2"/>
  <c r="D224" i="2"/>
  <c r="D220" i="2"/>
  <c r="D216" i="2"/>
  <c r="D212" i="2"/>
  <c r="D208" i="2"/>
  <c r="D204" i="2"/>
  <c r="D200" i="2"/>
  <c r="D196" i="2"/>
  <c r="D192" i="2"/>
  <c r="D188" i="2"/>
  <c r="D184" i="2"/>
  <c r="D180" i="2"/>
  <c r="D176" i="2"/>
  <c r="D172" i="2"/>
  <c r="D168" i="2"/>
  <c r="D164" i="2"/>
  <c r="D160" i="2"/>
  <c r="D156" i="2"/>
  <c r="D59" i="2"/>
  <c r="E123" i="2"/>
  <c r="E119" i="2"/>
  <c r="E115" i="2"/>
  <c r="E111" i="2"/>
  <c r="E95" i="2"/>
  <c r="E91" i="2"/>
  <c r="E87" i="2"/>
  <c r="E83" i="2"/>
  <c r="E79" i="2"/>
  <c r="E409" i="2"/>
  <c r="E405" i="2"/>
  <c r="E401" i="2"/>
  <c r="E397" i="2"/>
  <c r="E393" i="2"/>
  <c r="E389" i="2"/>
  <c r="E385" i="2"/>
  <c r="E381" i="2"/>
  <c r="E377" i="2"/>
  <c r="E373" i="2"/>
  <c r="E369" i="2"/>
  <c r="E365" i="2"/>
  <c r="E361" i="2"/>
  <c r="E357" i="2"/>
  <c r="E353" i="2"/>
  <c r="E349" i="2"/>
  <c r="E345" i="2"/>
  <c r="E341" i="2"/>
  <c r="E337" i="2"/>
  <c r="E333" i="2"/>
  <c r="E329" i="2"/>
  <c r="E325" i="2"/>
  <c r="E321" i="2"/>
  <c r="E317" i="2"/>
  <c r="E313" i="2"/>
  <c r="E309" i="2"/>
  <c r="E305" i="2"/>
  <c r="E301" i="2"/>
  <c r="E297" i="2"/>
  <c r="E293" i="2"/>
  <c r="E289" i="2"/>
  <c r="E285" i="2"/>
  <c r="E281" i="2"/>
  <c r="E277" i="2"/>
  <c r="E273" i="2"/>
  <c r="E269" i="2"/>
  <c r="E265" i="2"/>
  <c r="E261" i="2"/>
  <c r="E257" i="2"/>
  <c r="E253" i="2"/>
  <c r="E249" i="2"/>
  <c r="E245" i="2"/>
  <c r="E241" i="2"/>
  <c r="E410" i="2"/>
  <c r="E406" i="2"/>
  <c r="E402" i="2"/>
  <c r="E398" i="2"/>
  <c r="E394" i="2"/>
  <c r="E390" i="2"/>
  <c r="E386" i="2"/>
  <c r="E382" i="2"/>
  <c r="E378" i="2"/>
  <c r="E374" i="2"/>
  <c r="E370" i="2"/>
  <c r="E366" i="2"/>
  <c r="E362" i="2"/>
  <c r="E358" i="2"/>
  <c r="E354" i="2"/>
  <c r="E350" i="2"/>
  <c r="E346" i="2"/>
  <c r="E342" i="2"/>
  <c r="E338" i="2"/>
  <c r="E334" i="2"/>
  <c r="E330" i="2"/>
  <c r="E326" i="2"/>
  <c r="E322" i="2"/>
  <c r="E318" i="2"/>
  <c r="E314" i="2"/>
  <c r="E310" i="2"/>
  <c r="E306" i="2"/>
  <c r="E302" i="2"/>
  <c r="E298" i="2"/>
  <c r="E294" i="2"/>
  <c r="E290" i="2"/>
  <c r="E286" i="2"/>
  <c r="E282" i="2"/>
  <c r="E278" i="2"/>
  <c r="E274" i="2"/>
  <c r="E270" i="2"/>
  <c r="E266" i="2"/>
  <c r="E262" i="2"/>
  <c r="E258" i="2"/>
  <c r="E254" i="2"/>
  <c r="E250" i="2"/>
  <c r="E246" i="2"/>
  <c r="E242" i="2"/>
  <c r="E408" i="2"/>
  <c r="E404" i="2"/>
  <c r="E400" i="2"/>
  <c r="E396" i="2"/>
  <c r="E392" i="2"/>
  <c r="E388" i="2"/>
  <c r="E384" i="2"/>
  <c r="E380" i="2"/>
  <c r="E376" i="2"/>
  <c r="E372" i="2"/>
  <c r="E368" i="2"/>
  <c r="E364" i="2"/>
  <c r="E360" i="2"/>
  <c r="E356" i="2"/>
  <c r="E352" i="2"/>
  <c r="E348" i="2"/>
  <c r="E344" i="2"/>
  <c r="E340" i="2"/>
  <c r="E336" i="2"/>
  <c r="E332" i="2"/>
  <c r="E328" i="2"/>
  <c r="E324" i="2"/>
  <c r="E320" i="2"/>
  <c r="E316" i="2"/>
  <c r="E312" i="2"/>
  <c r="E308" i="2"/>
  <c r="E304" i="2"/>
  <c r="E300" i="2"/>
  <c r="E296" i="2"/>
  <c r="E292" i="2"/>
  <c r="E288" i="2"/>
  <c r="E284" i="2"/>
  <c r="E280" i="2"/>
  <c r="E276" i="2"/>
  <c r="E272" i="2"/>
  <c r="E268" i="2"/>
  <c r="E264" i="2"/>
  <c r="E260" i="2"/>
  <c r="E256" i="2"/>
  <c r="E252" i="2"/>
  <c r="E248" i="2"/>
  <c r="E244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07" i="2"/>
  <c r="E103" i="2"/>
  <c r="E99" i="2"/>
  <c r="E75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407" i="2"/>
  <c r="E403" i="2"/>
  <c r="E399" i="2"/>
  <c r="E395" i="2"/>
  <c r="E391" i="2"/>
  <c r="E387" i="2"/>
  <c r="E383" i="2"/>
  <c r="E379" i="2"/>
  <c r="E375" i="2"/>
  <c r="E371" i="2"/>
  <c r="E367" i="2"/>
  <c r="E363" i="2"/>
  <c r="E359" i="2"/>
  <c r="E355" i="2"/>
  <c r="E351" i="2"/>
  <c r="E347" i="2"/>
  <c r="E343" i="2"/>
  <c r="E339" i="2"/>
  <c r="E335" i="2"/>
  <c r="E331" i="2"/>
  <c r="E327" i="2"/>
  <c r="E323" i="2"/>
  <c r="E319" i="2"/>
  <c r="E315" i="2"/>
  <c r="E311" i="2"/>
  <c r="E307" i="2"/>
  <c r="E303" i="2"/>
  <c r="E299" i="2"/>
  <c r="E295" i="2"/>
  <c r="E291" i="2"/>
  <c r="E287" i="2"/>
  <c r="E283" i="2"/>
  <c r="E279" i="2"/>
  <c r="E275" i="2"/>
  <c r="E271" i="2"/>
  <c r="E267" i="2"/>
  <c r="E263" i="2"/>
  <c r="E259" i="2"/>
  <c r="E255" i="2"/>
  <c r="E251" i="2"/>
  <c r="E247" i="2"/>
  <c r="E243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D58" i="2"/>
  <c r="E59" i="2"/>
  <c r="D62" i="2"/>
  <c r="E63" i="2"/>
  <c r="D66" i="2"/>
  <c r="E67" i="2"/>
  <c r="D70" i="2"/>
  <c r="E71" i="2"/>
  <c r="D74" i="2"/>
  <c r="D77" i="2"/>
  <c r="E80" i="2"/>
  <c r="D85" i="2"/>
  <c r="E88" i="2"/>
  <c r="D93" i="2"/>
  <c r="E96" i="2"/>
  <c r="D101" i="2"/>
  <c r="E104" i="2"/>
  <c r="D109" i="2"/>
  <c r="E112" i="2"/>
  <c r="D117" i="2"/>
  <c r="E120" i="2"/>
  <c r="D125" i="2"/>
  <c r="E128" i="2"/>
  <c r="D133" i="2"/>
  <c r="E136" i="2"/>
  <c r="D141" i="2"/>
  <c r="D145" i="2"/>
  <c r="D149" i="2"/>
  <c r="D153" i="2"/>
  <c r="D243" i="2"/>
  <c r="D259" i="2"/>
  <c r="D275" i="2"/>
  <c r="D291" i="2"/>
  <c r="D307" i="2"/>
  <c r="D323" i="2"/>
  <c r="D339" i="2"/>
  <c r="D355" i="2"/>
  <c r="D371" i="2"/>
  <c r="D387" i="2"/>
  <c r="D403" i="2"/>
  <c r="D111" i="2"/>
  <c r="D116" i="2"/>
  <c r="D119" i="2"/>
  <c r="D124" i="2"/>
  <c r="D127" i="2"/>
  <c r="D132" i="2"/>
  <c r="D135" i="2"/>
  <c r="D140" i="2"/>
  <c r="E145" i="2"/>
  <c r="E149" i="2"/>
  <c r="E153" i="2"/>
  <c r="E158" i="2"/>
  <c r="D161" i="2"/>
  <c r="E166" i="2"/>
  <c r="D169" i="2"/>
  <c r="E174" i="2"/>
  <c r="D177" i="2"/>
  <c r="E182" i="2"/>
  <c r="D185" i="2"/>
  <c r="E190" i="2"/>
  <c r="D193" i="2"/>
  <c r="E198" i="2"/>
  <c r="D201" i="2"/>
  <c r="E206" i="2"/>
  <c r="D209" i="2"/>
  <c r="E214" i="2"/>
  <c r="D217" i="2"/>
  <c r="E222" i="2"/>
  <c r="D225" i="2"/>
  <c r="E230" i="2"/>
  <c r="D233" i="2"/>
  <c r="E238" i="2"/>
  <c r="D241" i="2"/>
  <c r="D247" i="2"/>
  <c r="D263" i="2"/>
  <c r="D279" i="2"/>
  <c r="D295" i="2"/>
  <c r="D311" i="2"/>
  <c r="D327" i="2"/>
  <c r="D343" i="2"/>
  <c r="D359" i="2"/>
  <c r="D375" i="2"/>
  <c r="D391" i="2"/>
  <c r="D407" i="2"/>
  <c r="P49" i="5" l="1"/>
  <c r="C21" i="6" s="1"/>
  <c r="B21" i="6"/>
  <c r="P50" i="5"/>
  <c r="C22" i="6" s="1"/>
  <c r="B22" i="6"/>
  <c r="N51" i="5"/>
  <c r="P51" i="5" s="1"/>
  <c r="C23" i="6" s="1"/>
  <c r="L27" i="1"/>
  <c r="L31" i="1" s="1"/>
  <c r="L35" i="1" s="1"/>
  <c r="B27" i="1"/>
  <c r="B31" i="1" s="1"/>
  <c r="B35" i="1" s="1"/>
  <c r="B37" i="1" s="1"/>
  <c r="G27" i="1"/>
  <c r="G31" i="1" s="1"/>
  <c r="G35" i="1" s="1"/>
  <c r="E21" i="6" l="1"/>
  <c r="C27" i="7" s="1"/>
  <c r="F21" i="6"/>
  <c r="D27" i="7" s="1"/>
  <c r="H21" i="6"/>
  <c r="G21" i="6"/>
  <c r="E22" i="6"/>
  <c r="C28" i="7" s="1"/>
  <c r="F22" i="6"/>
  <c r="D28" i="7" s="1"/>
  <c r="H22" i="6"/>
  <c r="G22" i="6"/>
  <c r="G24" i="6" s="1"/>
  <c r="E26" i="7" s="1"/>
  <c r="Q51" i="5"/>
  <c r="D23" i="6" s="1"/>
  <c r="P52" i="5"/>
  <c r="O51" i="5"/>
  <c r="B23" i="6" s="1"/>
  <c r="E23" i="6" s="1"/>
  <c r="C29" i="7" s="1"/>
  <c r="I23" i="5"/>
  <c r="J23" i="5" s="1"/>
  <c r="K23" i="5" s="1"/>
  <c r="H5" i="7"/>
  <c r="L37" i="1"/>
  <c r="H19" i="7"/>
  <c r="I39" i="5"/>
  <c r="J39" i="5" s="1"/>
  <c r="K39" i="5" s="1"/>
  <c r="G37" i="1"/>
  <c r="H12" i="7"/>
  <c r="I31" i="5"/>
  <c r="G38" i="1"/>
  <c r="I38" i="1"/>
  <c r="N38" i="1"/>
  <c r="L38" i="1"/>
  <c r="B38" i="1"/>
  <c r="D38" i="1"/>
  <c r="F23" i="6" l="1"/>
  <c r="D29" i="7" s="1"/>
  <c r="H23" i="6"/>
  <c r="G26" i="7" s="1"/>
  <c r="L39" i="5"/>
  <c r="M39" i="5" s="1"/>
  <c r="O41" i="5" s="1"/>
  <c r="L23" i="5"/>
  <c r="M23" i="5" s="1"/>
  <c r="O23" i="5" s="1"/>
  <c r="J31" i="5"/>
  <c r="K31" i="5" s="1"/>
  <c r="P23" i="5" l="1"/>
  <c r="C2" i="6" s="1"/>
  <c r="B2" i="6"/>
  <c r="O24" i="5"/>
  <c r="O25" i="5"/>
  <c r="I28" i="5"/>
  <c r="L31" i="5"/>
  <c r="M31" i="5" s="1"/>
  <c r="O33" i="5" s="1"/>
  <c r="I42" i="5"/>
  <c r="O40" i="5"/>
  <c r="I44" i="5"/>
  <c r="I26" i="5"/>
  <c r="O39" i="5"/>
  <c r="H2" i="6" l="1"/>
  <c r="F2" i="6"/>
  <c r="D5" i="7" s="1"/>
  <c r="B11" i="6"/>
  <c r="P33" i="5"/>
  <c r="C11" i="6" s="1"/>
  <c r="P39" i="5"/>
  <c r="N42" i="5"/>
  <c r="B14" i="6"/>
  <c r="P40" i="5"/>
  <c r="C15" i="6" s="1"/>
  <c r="B15" i="6"/>
  <c r="O31" i="5"/>
  <c r="B3" i="6"/>
  <c r="P24" i="5"/>
  <c r="C3" i="6" s="1"/>
  <c r="G2" i="6"/>
  <c r="E2" i="6"/>
  <c r="C5" i="7" s="1"/>
  <c r="B16" i="6"/>
  <c r="P41" i="5"/>
  <c r="C16" i="6" s="1"/>
  <c r="O32" i="5"/>
  <c r="I36" i="5"/>
  <c r="N26" i="5"/>
  <c r="I34" i="5"/>
  <c r="B4" i="6"/>
  <c r="P25" i="5"/>
  <c r="C4" i="6" s="1"/>
  <c r="H16" i="6" l="1"/>
  <c r="F16" i="6"/>
  <c r="D21" i="7" s="1"/>
  <c r="H14" i="6"/>
  <c r="F14" i="6"/>
  <c r="D19" i="7" s="1"/>
  <c r="H11" i="6"/>
  <c r="F11" i="6"/>
  <c r="D14" i="7" s="1"/>
  <c r="H4" i="6"/>
  <c r="F4" i="6"/>
  <c r="D7" i="7" s="1"/>
  <c r="H3" i="6"/>
  <c r="F3" i="6"/>
  <c r="D6" i="7" s="1"/>
  <c r="H15" i="6"/>
  <c r="F15" i="6"/>
  <c r="D20" i="7" s="1"/>
  <c r="E4" i="6"/>
  <c r="C7" i="7" s="1"/>
  <c r="G4" i="6"/>
  <c r="P32" i="5"/>
  <c r="C10" i="6" s="1"/>
  <c r="B10" i="6"/>
  <c r="P31" i="5"/>
  <c r="C9" i="6" s="1"/>
  <c r="N34" i="5"/>
  <c r="B9" i="6"/>
  <c r="O42" i="5"/>
  <c r="B17" i="6" s="1"/>
  <c r="P43" i="5"/>
  <c r="Q42" i="5"/>
  <c r="D17" i="6" s="1"/>
  <c r="F17" i="6" s="1"/>
  <c r="P42" i="5"/>
  <c r="C17" i="6" s="1"/>
  <c r="E15" i="6"/>
  <c r="C20" i="7" s="1"/>
  <c r="G15" i="6"/>
  <c r="G17" i="6"/>
  <c r="C14" i="6"/>
  <c r="E14" i="6" s="1"/>
  <c r="C19" i="7" s="1"/>
  <c r="P26" i="5"/>
  <c r="C5" i="6" s="1"/>
  <c r="O26" i="5"/>
  <c r="B5" i="6" s="1"/>
  <c r="Q26" i="5"/>
  <c r="D5" i="6" s="1"/>
  <c r="H5" i="6" s="1"/>
  <c r="P27" i="5"/>
  <c r="G5" i="6" s="1"/>
  <c r="G16" i="6"/>
  <c r="E16" i="6"/>
  <c r="C21" i="7" s="1"/>
  <c r="E11" i="6"/>
  <c r="C14" i="7" s="1"/>
  <c r="E3" i="6"/>
  <c r="C6" i="7" s="1"/>
  <c r="G3" i="6"/>
  <c r="G14" i="6"/>
  <c r="G11" i="6"/>
  <c r="G5" i="7" l="1"/>
  <c r="H9" i="6"/>
  <c r="F9" i="6"/>
  <c r="H10" i="6"/>
  <c r="F10" i="6"/>
  <c r="D13" i="7" s="1"/>
  <c r="D22" i="7"/>
  <c r="H17" i="6"/>
  <c r="G19" i="7" s="1"/>
  <c r="G6" i="6"/>
  <c r="E5" i="7" s="1"/>
  <c r="F5" i="6"/>
  <c r="D8" i="7" s="1"/>
  <c r="G18" i="6"/>
  <c r="E19" i="7" s="1"/>
  <c r="E17" i="6"/>
  <c r="C22" i="7" s="1"/>
  <c r="G10" i="6"/>
  <c r="E10" i="6"/>
  <c r="C13" i="7" s="1"/>
  <c r="E5" i="6"/>
  <c r="C8" i="7" s="1"/>
  <c r="D12" i="7"/>
  <c r="E9" i="6"/>
  <c r="C12" i="7" s="1"/>
  <c r="G9" i="6"/>
  <c r="P34" i="5"/>
  <c r="P35" i="5"/>
  <c r="O34" i="5"/>
  <c r="B12" i="6" s="1"/>
  <c r="Q34" i="5"/>
  <c r="D12" i="6" s="1"/>
  <c r="F12" i="6" l="1"/>
  <c r="D15" i="7" s="1"/>
  <c r="H12" i="6"/>
  <c r="G12" i="7" s="1"/>
  <c r="G12" i="6"/>
  <c r="G13" i="6" s="1"/>
  <c r="E12" i="7" s="1"/>
  <c r="C12" i="6"/>
  <c r="E12" i="6" s="1"/>
  <c r="C15" i="7" s="1"/>
</calcChain>
</file>

<file path=xl/sharedStrings.xml><?xml version="1.0" encoding="utf-8"?>
<sst xmlns="http://schemas.openxmlformats.org/spreadsheetml/2006/main" count="1136" uniqueCount="554">
  <si>
    <t>10x15</t>
  </si>
  <si>
    <t>13x18</t>
  </si>
  <si>
    <t>20x25</t>
  </si>
  <si>
    <t>SCATOLE</t>
  </si>
  <si>
    <t>DIMENSIONI</t>
  </si>
  <si>
    <t>M3</t>
  </si>
  <si>
    <t>M2</t>
  </si>
  <si>
    <t>PESO PALLET</t>
  </si>
  <si>
    <t>PALLET/S</t>
  </si>
  <si>
    <t>62X83XH47</t>
  </si>
  <si>
    <t>PICCOLO</t>
  </si>
  <si>
    <t>62X83XH48</t>
  </si>
  <si>
    <t>62X83X107</t>
  </si>
  <si>
    <t>62X83XH137</t>
  </si>
  <si>
    <t>61X82XH165</t>
  </si>
  <si>
    <t>65X80XH172</t>
  </si>
  <si>
    <t>123X84XH125</t>
  </si>
  <si>
    <t>MEDIO</t>
  </si>
  <si>
    <t>123X84XH126</t>
  </si>
  <si>
    <t>126X80XH146</t>
  </si>
  <si>
    <t>123X83XH160</t>
  </si>
  <si>
    <t>124X85XH200</t>
  </si>
  <si>
    <t>124X80XH208</t>
  </si>
  <si>
    <t>124X80XH209</t>
  </si>
  <si>
    <t>124X98XH201</t>
  </si>
  <si>
    <t>GRANDE</t>
  </si>
  <si>
    <t>62X83X107
124X80XH209</t>
  </si>
  <si>
    <t>1 PICCOLO DA 7
1 MEDIO DA 48</t>
  </si>
  <si>
    <t>1 PICCOLO DA 8
1 MEDIO DA 48</t>
  </si>
  <si>
    <t>62X83XH137
124X80XH209</t>
  </si>
  <si>
    <t>1 PICCOLO DA 9
1 MEDIO DA 48</t>
  </si>
  <si>
    <t>1 PICCOLO DA 10
1 MEDIO DA 48</t>
  </si>
  <si>
    <t>1 PICCOLO DA 11
1 MEDIO DA 48</t>
  </si>
  <si>
    <t>1 PICCOLO DA 12
1 MEDIO DA 48</t>
  </si>
  <si>
    <t>61X82XH165
124X80XH209</t>
  </si>
  <si>
    <t>1 PICCOLO DA 13
1 MEDIO DA 48</t>
  </si>
  <si>
    <t>1 PICCOLO DA 14
1 MEDIO DA 48</t>
  </si>
  <si>
    <t>1 PICCOLO DA 15
1 MEDIO DA 48</t>
  </si>
  <si>
    <t>1 PICCOLO DA 16
1 MEDIO DA 48</t>
  </si>
  <si>
    <t>65X80XH172
124X80XH209</t>
  </si>
  <si>
    <t>1 PICCOLO DA 17
1 MEDIO DA 48</t>
  </si>
  <si>
    <t>1 PICCOLO DA 18
1 MEDIO DA 48</t>
  </si>
  <si>
    <t>1 PICCOLO DA 19
1 MEDIO DA 48</t>
  </si>
  <si>
    <t>1 PICCOLO DA 20
1 MEDIO DA 48</t>
  </si>
  <si>
    <t>61X82XH165
124X98XH201</t>
  </si>
  <si>
    <t>1 PICCOLO DA 13
1 GRANDE DA 54</t>
  </si>
  <si>
    <t>1 PICCOLO DA 14
1 GRANDE DA 54</t>
  </si>
  <si>
    <t>1 PICCOLO DA 15
1 GRANDE DA 54</t>
  </si>
  <si>
    <t>1 PICCOLO DA 16
1 GRANDE DA 54</t>
  </si>
  <si>
    <t>65X80XH172
124X98XH201</t>
  </si>
  <si>
    <t>1 PICCOLO DA 17
1 GRANDE DA 54</t>
  </si>
  <si>
    <t>1 PICCOLO DA 18
1 GRANDE DA 54</t>
  </si>
  <si>
    <t>1 PICCOLO DA 19
1 GRANDE DA 54</t>
  </si>
  <si>
    <t>1 PICCOLO DA 20
1 GRANDE DA 54</t>
  </si>
  <si>
    <t>126X80XH146
124X80XH209</t>
  </si>
  <si>
    <t>1 MEDIO DA 29
1 MEDIO DA 48</t>
  </si>
  <si>
    <t>1 MEDIO DA 30
1 MEDIO DA 48</t>
  </si>
  <si>
    <t>123X83XH160
124X80XH209</t>
  </si>
  <si>
    <t>1 MEDIO DA 31
1 MEDIO DA 48</t>
  </si>
  <si>
    <t>1 MEDIO DA 32
1 MEDIO DA 48</t>
  </si>
  <si>
    <t>1 MEDIO DA 33
1 MEDIO DA 48</t>
  </si>
  <si>
    <t>1 MEDIO DA 34
1 MEDIO DA 48</t>
  </si>
  <si>
    <t>1 MEDIO DA 35
1 MEDIO DA 48</t>
  </si>
  <si>
    <t>1 MEDIO DA 36
1 MEDIO DA 48</t>
  </si>
  <si>
    <t>123X85XH200
124X80XH209</t>
  </si>
  <si>
    <t>1 MEDIO DA 37
1 MEDIO DA 48</t>
  </si>
  <si>
    <t>1 MEDIO DA 38
1 MEDIO DA 48</t>
  </si>
  <si>
    <t>1 MEDIO DA 39
1 MEDIO DA 48</t>
  </si>
  <si>
    <t>1 MEDIO DA 40
1 MEDIO DA 48</t>
  </si>
  <si>
    <t>1 MEDIO DA 41
1 MEDIO DA 48</t>
  </si>
  <si>
    <t>1 MEDIO DA 42
1 MEDIO DA 48</t>
  </si>
  <si>
    <t>124X80XH208
124X80XH209</t>
  </si>
  <si>
    <t>1 MEDIO DA 43
1 MEDIO DA 48</t>
  </si>
  <si>
    <t>1 MEDIO DA 44
1 MEDIO DA 48</t>
  </si>
  <si>
    <t>1 MEDIO DA 45
1 MEDIO DA 48</t>
  </si>
  <si>
    <t>1 MEDIO DA 46
1 MEDIO DA 48</t>
  </si>
  <si>
    <t>1 MEDIO DA 47
1 MEDIO DA 48</t>
  </si>
  <si>
    <t>1 MEDIO DA 48
1 MEDIO DA 48</t>
  </si>
  <si>
    <t>124X80XH208
124X98XH201</t>
  </si>
  <si>
    <t>1 MEDIO DA 43
1 GRANDE DA 54</t>
  </si>
  <si>
    <t>1 MEDIO DA 44
1 GRANDE DA 54</t>
  </si>
  <si>
    <t>1 MEDIO DA 45
1 GRANDE DA 54</t>
  </si>
  <si>
    <t>1 MEDIO DA 46
1 GRANDE DA 54</t>
  </si>
  <si>
    <t>1 MEDIO DA 47
1 GRANDE DA 54</t>
  </si>
  <si>
    <t>1 MEDIO DA 48
1 GRANDE DA 54</t>
  </si>
  <si>
    <t>124X98XH201
124X98XH201</t>
  </si>
  <si>
    <t>1 GRANDE DA 49
1 GRANDE DA 54</t>
  </si>
  <si>
    <t>62X83X107
124X80XH209
124X98XH201</t>
  </si>
  <si>
    <t>1 PICCOLO DA 7
1 MEDIO DA 48
1 GRANDE DA 54</t>
  </si>
  <si>
    <t>1 PICCOLO DA 8
1 MEDIO DA 48
1 GRANDE DA 54</t>
  </si>
  <si>
    <t>62X83XH137
124X80XH209
124X98XH201</t>
  </si>
  <si>
    <t>1 PICCOLO DA 9
1 MEDIO DA 48
1 GRANDE DA 54</t>
  </si>
  <si>
    <t>1 PICCOLO DA 10
1 MEDIO DA 48
1 GRANDE DA 54</t>
  </si>
  <si>
    <t>1 PICCOLO DA 11
1 MEDIO DA 48
1 GRANDE DA 54</t>
  </si>
  <si>
    <t>1 PICCOLO DA 12
1 MEDIO DA 48
1 GRANDE DA 54</t>
  </si>
  <si>
    <t>61X82XH165
124X80XH209
124X98XH201</t>
  </si>
  <si>
    <t>1 PICCOLO DA 13
1 MEDIO DA 48
1 GRANDE DA 54</t>
  </si>
  <si>
    <t>1 PICCOLO DA 14
1 MEDIO DA 48
1 GRANDE DA 54</t>
  </si>
  <si>
    <t>1 PICCOLO DA 15
1 MEDIO DA 48
1 GRANDE DA 54</t>
  </si>
  <si>
    <t>1 PICCOLO DA 16
1 MEDIO DA 48
1 GRANDE DA 54</t>
  </si>
  <si>
    <t>65X80XH172
124X80XH209
124X98XH201</t>
  </si>
  <si>
    <t>1 PICCOLO DA 17
1 MEDIO DA 48
1 GRANDE DA 54</t>
  </si>
  <si>
    <t>1 PICCOLO DA 18
1 MEDIO DA 48
1 GRANDE DA 54</t>
  </si>
  <si>
    <t>1 PICCOLO DA 19
1 MEDIO DA 48
1 GRANDE DA 54</t>
  </si>
  <si>
    <t>1 PICCOLO DA 20
1 MEDIO DA 48
1 GRANDE DA 54</t>
  </si>
  <si>
    <t>61X82XH165
124X98XH201
124X98XH201</t>
  </si>
  <si>
    <t>1 PICCOLO DA 15
1 GRANDE DA 54
1 GRANDE DA 54</t>
  </si>
  <si>
    <t>1 PICCOLO DA 16
1 GRANDE DA 54
1 GRANDE DA 54</t>
  </si>
  <si>
    <t>65X80XH172
124X98XH201
124X98XH201</t>
  </si>
  <si>
    <t>1 PICCOLO DA 17
1 GRANDE DA 54
1 GRANDE DA 54</t>
  </si>
  <si>
    <t>1 PICCOLO DA 18
1 GRANDE DA 54
1 GRANDE DA 54</t>
  </si>
  <si>
    <t>1 PICCOLO DA 19
1 GRANDE DA 54
1 GRANDE DA 54</t>
  </si>
  <si>
    <t>1 PICCOLO DA 20
1 GRANDE DA 54
1 GRANDE DA 54</t>
  </si>
  <si>
    <t>126X80XH146
124X80XH209
124X98XH201</t>
  </si>
  <si>
    <t>1 MEDIO DA 27
1 MEDIO DA 48
1 GRANDE DA 54</t>
  </si>
  <si>
    <t>1 MEDIO DA 28
1 MEDIO DA 48
1 GRANDE DA 54</t>
  </si>
  <si>
    <t>1 MEDIO DA 29
1 MEDIO DA 48
1 GRANDE DA 54</t>
  </si>
  <si>
    <t>1 MEDIO DA 30
1 MEDIO DA 48
1 GRANDE DA 54</t>
  </si>
  <si>
    <t>123X83XH160
124X80XH209
124X98XH201</t>
  </si>
  <si>
    <t>1 MEDIO DA 31
1 MEDIO DA 48
1 GRANDE DA 54</t>
  </si>
  <si>
    <t>1 MEDIO DA 32
1 MEDIO DA 48
1 GRANDE DA 54</t>
  </si>
  <si>
    <t>1 MEDIO DA 33
1 MEDIO DA 48
1 GRANDE DA 54</t>
  </si>
  <si>
    <t>1 MEDIO DA 34
1 MEDIO DA 48
1 GRANDE DA 54</t>
  </si>
  <si>
    <t>1 MEDIO DA 35
1 MEDIO DA 48
1 GRANDE DA 54</t>
  </si>
  <si>
    <t>1 MEDIO DA 36
1 MEDIO DA 48
1 GRANDE DA 54</t>
  </si>
  <si>
    <t>123X85XH200
124X80XH209
124X98XH201</t>
  </si>
  <si>
    <t>1 MEDIO DA 37
1 MEDIO DA 48
1 GRANDE DA 54</t>
  </si>
  <si>
    <t>1 MEDIO DA 38
1 MEDIO DA 48
1 GRANDE DA 54</t>
  </si>
  <si>
    <t>1 MEDIO DA 39
1 MEDIO DA 48
1 GRANDE DA 54</t>
  </si>
  <si>
    <t>1 MEDIO DA 40
1 MEDIO DA 48
1 GRANDE DA 54</t>
  </si>
  <si>
    <t>1 MEDIO DA 41
1 MEDIO DA 48
1 GRANDE DA 54</t>
  </si>
  <si>
    <t>1 MEDIO DA 42
1 MEDIO DA 48
1 GRANDE DA 54</t>
  </si>
  <si>
    <t>124X80XH208
124X80XH209
124X98XH201</t>
  </si>
  <si>
    <t>1 MEDIO DA 43
1 MEDIO DA 48
1 GRANDE DA 54</t>
  </si>
  <si>
    <t>1 MEDIO DA 44
1 MEDIO DA 48
1 GRANDE DA 54</t>
  </si>
  <si>
    <t>1 MEDIO DA 45
1 MEDIO DA 48
1 GRANDE DA 54</t>
  </si>
  <si>
    <t>1 MEDIO DA 46
1 MEDIO DA 48
1 GRANDE DA 54</t>
  </si>
  <si>
    <t>1 MEDIO DA 47
1 MEDIO DA 48
1 GRANDE DA 54</t>
  </si>
  <si>
    <t>1 MEDIO DA 48
1 MEDIO DA 48
1 GRANDE DA 54</t>
  </si>
  <si>
    <t>124X80XH208
124X98XH201
124X98XH201</t>
  </si>
  <si>
    <t>1 MEDIO DA 43
1 GRANDE DA 54
1 GRANDE DA 54</t>
  </si>
  <si>
    <t>1 MEDIO DA 44
1 GRANDE DA 54
1 GRANDE DA 54</t>
  </si>
  <si>
    <t>1 MEDIO DA 45
1 GRANDE DA 54
1 GRANDE DA 54</t>
  </si>
  <si>
    <t>1 MEDIO DA 46
1 GRANDE DA 54
1 GRANDE DA 54</t>
  </si>
  <si>
    <t>1 MEDIO DA 47
1 GRANDE DA 54
1 GRANDE DA 54</t>
  </si>
  <si>
    <t>1 MEDIO DA 48
1 GRANDE DA 54
1 GRANDE DA 54</t>
  </si>
  <si>
    <t>124X98XH201
124X98XH201
124X98XH201</t>
  </si>
  <si>
    <t>1 GRANDE DA 49
1 GRANDE DA 54
1 GRANDE DA 54</t>
  </si>
  <si>
    <t>1 GRANDE DA 50
1 GRANDE DA 54
1 GRANDE DA 54</t>
  </si>
  <si>
    <t>1 GRANDE DA 51
1 GRANDE DA 54
1 GRANDE DA 54</t>
  </si>
  <si>
    <t>1 GRANDE DA 52
1 GRANDE DA 54
1 GRANDE DA 54</t>
  </si>
  <si>
    <t>1 GRANDE DA 53
1 GRANDE DA 54
1 GRANDE DA 54</t>
  </si>
  <si>
    <t>1 GRANDE DA 54
1 GRANDE DA 54
1 GRANDE DA 54</t>
  </si>
  <si>
    <t>62X83XH107
124X80XH209
124X98XH201
124X98XH201</t>
  </si>
  <si>
    <t>1 PICCOLO DA 7
1 MEDIO DA 48
1 GRANDE DA 54
1 GRANDE DA 54</t>
  </si>
  <si>
    <t>1 PICCOLO DA 8
1 MEDIO DA 48
1 GRANDE DA 54
1 GRANDE DA 54</t>
  </si>
  <si>
    <t>62X83XH137
124X80XH209
124X98XH201
124X98XH201</t>
  </si>
  <si>
    <t>1 PICCOLO DA 9
1 MEDIO DA 48
1 GRANDE DA 54
1 GRANDE DA 54</t>
  </si>
  <si>
    <t>1 PICCOLO DA 10
1 MEDIO DA 48
1 GRANDE DA 54
1 GRANDE DA 54</t>
  </si>
  <si>
    <t>1 PICCOLO DA 11
1 MEDIO DA 48
1 GRANDE DA 54
1 GRANDE DA 54</t>
  </si>
  <si>
    <t>1 PICCOLO DA 12
1 MEDIO DA 48
1 GRANDE DA 54
1 GRANDE DA 54</t>
  </si>
  <si>
    <t>61X82XH165
124X80XH209
124X98XH201
124X98XH201</t>
  </si>
  <si>
    <t>1 PICCOLO DA 13
1 MEDIO DA 48
1 GRANDE DA 54
1 GRANDE DA 54</t>
  </si>
  <si>
    <t>1 PICCOLO DA 14
1 MEDIO DA 48
1 GRANDE DA 54
1 GRANDE DA 54</t>
  </si>
  <si>
    <t>1 PICCOLO DA 15
1 MEDIO DA 48
1 GRANDE DA 54
1 GRANDE DA 54</t>
  </si>
  <si>
    <t>1 PICCOLO DA 16
1 MEDIO DA 48
1 GRANDE DA 54
1 GRANDE DA 54</t>
  </si>
  <si>
    <t>65X80XH172
124X80XH209
124X98XH201
124X98XH201</t>
  </si>
  <si>
    <t>1 PICCOLO DA 17
1 MEDIO DA 48
1 GRANDE DA 54
1 GRANDE DA 54</t>
  </si>
  <si>
    <t>1 PICCOLO DA 18
1 MEDIO DA 48
1 GRANDE DA 54
1 GRANDE DA 54</t>
  </si>
  <si>
    <t>1 PICCOLO DA 19
1 MEDIO DA 48
1 GRANDE DA 54
1 GRANDE DA 54</t>
  </si>
  <si>
    <t>1 PICCOLO DA 20
1 MEDIO DA 48
1 GRANDE DA 54
1 GRANDE DA 54</t>
  </si>
  <si>
    <t>123X84XH125
124X84XH209
124X98XH201
124X98XH201</t>
  </si>
  <si>
    <t>1 MEDIO DA 21
1 MEDIO DA 48
1 GRANDE DA 54
1 GRANDE DA 54</t>
  </si>
  <si>
    <t>1 MEDIO DA 22
1 MEDIO DA 48
1 GRANDE DA 54
1 GRANDE DA 54</t>
  </si>
  <si>
    <t>1 MEDIO DA 23
1 MEDIO DA 48
1 GRANDE DA 54
1 GRANDE DA 54</t>
  </si>
  <si>
    <t>1 MEDIO DA 24
1 MEDIO DA 48
1 GRANDE DA 54
1 GRANDE DA 54</t>
  </si>
  <si>
    <t>1 MEDIO DA 25
1 MEDIO DA 48
1 GRANDE DA 54
1 GRANDE DA 54</t>
  </si>
  <si>
    <t>126X80XH146
124X84XH209
124X98XH201
124X98XH201</t>
  </si>
  <si>
    <t>1 MEDIO DA 26
1 MEDIO DA 48
1 GRANDE DA 54
1 GRANDE DA 54</t>
  </si>
  <si>
    <t>1 MEDIO DA 27
1 MEDIO DA 48
1 GRANDE DA 54
1 GRANDE DA 54</t>
  </si>
  <si>
    <t>1 MEDIO DA 28
1 MEDIO DA 48
1 GRANDE DA 54
1 GRANDE DA 54</t>
  </si>
  <si>
    <t>1 MEDIO DA 29
1 MEDIO DA 48
1 GRANDE DA 54
1 GRANDE DA 54</t>
  </si>
  <si>
    <t>1 MEDIO DA 30
1 MEDIO DA 48
1 GRANDE DA 54
1 GRANDE DA 54</t>
  </si>
  <si>
    <t>123X83XH160
124X84XH209
124X98XH201
124X98XH201</t>
  </si>
  <si>
    <t>1 MEDIO DA 31
1 MEDIO DA 48
1 GRANDE DA 54
1 GRANDE DA 54</t>
  </si>
  <si>
    <t>1 MEDIO DA 32
1 MEDIO DA 48
1 GRANDE DA 54
1 GRANDE DA 54</t>
  </si>
  <si>
    <t>1 MEDIO DA 33
1 MEDIO DA 48
1 GRANDE DA 54
1 GRANDE DA 54</t>
  </si>
  <si>
    <t>1 MEDIO DA 34
1 MEDIO DA 48
1 GRANDE DA 54
1 GRANDE DA 54</t>
  </si>
  <si>
    <t>1 MEDIO DA 35
1 MEDIO DA 48
1 GRANDE DA 54
1 GRANDE DA 54</t>
  </si>
  <si>
    <t>1 MEDIO DA 36
1 MEDIO DA 48
1 GRANDE DA 54
1 GRANDE DA 54</t>
  </si>
  <si>
    <t>124X85XH200
124X84XH209
124X98XH201
124X98XH201</t>
  </si>
  <si>
    <t>1 MEDIO DA 37
1 MEDIO DA 48
1 GRANDE DA 54
1 GRANDE DA 54</t>
  </si>
  <si>
    <t>1 MEDIO DA 38
1 MEDIO DA 48
1 GRANDE DA 54
1 GRANDE DA 54</t>
  </si>
  <si>
    <t>1 MEDIO DA 39
1 MEDIO DA 48
1 GRANDE DA 54
1 GRANDE DA 54</t>
  </si>
  <si>
    <t>1 MEDIO DA 40
1 MEDIO DA 48
1 GRANDE DA 54
1 GRANDE DA 54</t>
  </si>
  <si>
    <t>1 MEDIO DA 41
1 MEDIO DA 48
1 GRANDE DA 54
1 GRANDE DA 54</t>
  </si>
  <si>
    <t>1 MEDIO DA 42
1 MEDIO DA 48
1 GRANDE DA 54
1 GRANDE DA 54</t>
  </si>
  <si>
    <t>124X84XH209
124X84XH209
124X98XH201
124X98XH201</t>
  </si>
  <si>
    <t>1 MEDIO DA 43
1 MEDIO DA 48
1 GRANDE DA 54
1 GRANDE DA 54</t>
  </si>
  <si>
    <t>1 MEDIO DA 44
1 MEDIO DA 48
1 GRANDE DA 54
1 GRANDE DA 54</t>
  </si>
  <si>
    <t>1 MEDIO DA 45
1 MEDIO DA 48
1 GRANDE DA 54
1 GRANDE DA 54</t>
  </si>
  <si>
    <t>1 MEDIO DA 46
1 MEDIO DA 48
1 GRANDE DA 54
1 GRANDE DA 54</t>
  </si>
  <si>
    <t>1 MEDIO DA 47
1 MEDIO DA 48
1 GRANDE DA 54
1 GRANDE DA 54</t>
  </si>
  <si>
    <t>1 MEDIO DA 48
1 MEDIO DA 48
1 GRANDE DA 54
1 GRANDE DA 54</t>
  </si>
  <si>
    <t>124X84XH209
124X98XH201
124X98XH201
124X98XH201</t>
  </si>
  <si>
    <t>1 MEDIO DA 43
1 GRANDE DA 54
1 GRANDE DA 54
1 GRANDE DA 54</t>
  </si>
  <si>
    <t>1 MEDIO DA 44
1 GRANDE DA 54
1 GRANDE DA 54
1 GRANDE DA 54</t>
  </si>
  <si>
    <t>1 MEDIO DA 45
1 GRANDE DA 54
1 GRANDE DA 54
1 GRANDE DA 54</t>
  </si>
  <si>
    <t>1 MEDIO DA 46
1 GRANDE DA 54
1 GRANDE DA 54
1 GRANDE DA 54</t>
  </si>
  <si>
    <t>1 MEDIO DA 47
1 GRANDE DA 54
1 GRANDE DA 54
1 GRANDE DA 54</t>
  </si>
  <si>
    <t>1 MEDIO DA 48
1 GRANDE DA 54
1 GRANDE DA 54
1 GRANDE DA 54</t>
  </si>
  <si>
    <t>1 GRANDE DA 49
1 GRANDE DA 54
1 GRANDE DA 54
1 GRANDE DA 54</t>
  </si>
  <si>
    <t>124X98XH201
124X98XH201
124X98XH201
124X98XH201</t>
  </si>
  <si>
    <t>1 GRANDE DA 50
1 GRANDE DA 54
1 GRANDE DA 54
1 GRANDE DA 54</t>
  </si>
  <si>
    <t>1 GRANDE  DA 51
1 GRANDE DA 54
1 GRANDE DA 54
1 GRANDE DA 54</t>
  </si>
  <si>
    <t>1 GRANDE DA 52
1 GRANDE DA 54
1 GRANDE DA 54
1 GRANDE DA 54</t>
  </si>
  <si>
    <t>1 GRANDE  DA 53
1 GRANDE DA 54
1 GRANDE DA 54
1 GRANDE DA 54</t>
  </si>
  <si>
    <t>1 GRANDE  DA 54
1 GRANDE DA 54
1 GRANDE DA 54
1 GRANDE DA 54</t>
  </si>
  <si>
    <t>62X83XH107
124X80XH209
124X98XH201
124X98XH201
124X98XH201</t>
  </si>
  <si>
    <t>1 PICCOLO DA 7
1 MEDIO  DA 48
1 GRANDE DA 54
1 GRANDE DA 54
1 GRANDE DA 54</t>
  </si>
  <si>
    <t>1 PICCOLO DA 8
1 MEDIO  DA 48
1 GRANDE DA 54
1 GRANDE DA 54
1 GRANDE DA 54</t>
  </si>
  <si>
    <t>62X83XH137
124X80XH209
124X98XH201
124X98XH201
124X98XH201</t>
  </si>
  <si>
    <t>1 PICCOLO DA 9
1 MEDIO  DA 48
1 GRANDE DA 54
1 GRANDE DA 54
1 GRANDE DA 54</t>
  </si>
  <si>
    <t>1 PICCOLO DA 10
1 MEDIO  DA 48
1 GRANDE DA 54
1 GRANDE DA 54
1 GRANDE DA 54</t>
  </si>
  <si>
    <t>1 PICCOLO DA 11
1 MEDIO  DA 48
1 GRANDE DA 54
1 GRANDE DA 54
1 GRANDE DA 54</t>
  </si>
  <si>
    <t>1 PICCOLO DA 12
1 MEDIO  DA 48
1 GRANDE DA 54
1 GRANDE DA 54
1 GRANDE DA 54</t>
  </si>
  <si>
    <t>61X82XH165
124X80XH209
124X98XH201
124X98XH201
124X98XH201</t>
  </si>
  <si>
    <t>1 PICCOLO DA 13
1 MEDIO  DA 48
1 GRANDE DA 54
1 GRANDE DA 54
1 GRANDE DA 54</t>
  </si>
  <si>
    <t>1 PICCOLO DA 14
1 MEDIO  DA 48
1 GRANDE DA 54
1 GRANDE DA 54
1 GRANDE DA 54</t>
  </si>
  <si>
    <t>1 PICCOLO DA 15
1 MEDIO  DA 48
1 GRANDE DA 54
1 GRANDE DA 54
1 GRANDE DA 54</t>
  </si>
  <si>
    <t>1 PICCOLO DA 16
1 MEDIO  DA 48
1 GRANDE DA 54
1 GRANDE DA 54
1 GRANDE DA 54</t>
  </si>
  <si>
    <t>65X80XH172
124X80XH209
124X98XH201
124X98XH201
124X98XH201</t>
  </si>
  <si>
    <t>1 PICCOLO DA 17
1 MEDIO  DA 48
1 GRANDE DA 54
1 GRANDE DA 54
1 GRANDE DA 54</t>
  </si>
  <si>
    <t>1 PICCOLO DA 18
1 MEDIO  DA 48
1 GRANDE DA 54
1 GRANDE DA 54
1 GRANDE DA 54</t>
  </si>
  <si>
    <t>1 PICCOLO DA 19
1 MEDIO  DA 48
1 GRANDE DA 54
1 GRANDE DA 54
1 GRANDE DA 54</t>
  </si>
  <si>
    <t>1 PICCOLO DA 20
1 MEDIO  DA 48
1 GRANDE DA 54
1 GRANDE DA 54
1 GRANDE DA 54</t>
  </si>
  <si>
    <t>123X84XH125
124X80XH209
124X98XH201
124X98XH201
124X98XH201</t>
  </si>
  <si>
    <t>1 MEDIO DA 21
1 MEDIO  DA 48
1 GRANDE DA 54
1 GRANDE DA 54
1 GRANDE DA 54</t>
  </si>
  <si>
    <t>1 MEDIO DA 22
1 MEDIO  DA 48
1 GRANDE DA 54
1 GRANDE DA 54
1 GRANDE DA 54</t>
  </si>
  <si>
    <t>1 MEDIO DA 23
1 MEDIO  DA 48
1 GRANDE DA 54
1 GRANDE DA 54
1 GRANDE DA 54</t>
  </si>
  <si>
    <t>1 MEDIO DA 24
1 MEDIO  DA 48
1 GRANDE DA 54
1 GRANDE DA 54
1 GRANDE DA 54</t>
  </si>
  <si>
    <t>1 MEDIO DA 25
1 MEDIO  DA 48
1 GRANDE DA 54
1 GRANDE DA 54
1 GRANDE DA 54</t>
  </si>
  <si>
    <t>126X80XH146
124X80XH209
124X98XH201
124X98XH201
124X98XH201</t>
  </si>
  <si>
    <t>1 MEDIO DA 26
1 MEDIO  DA 48
1 GRANDE DA 54
1 GRANDE DA 54
1 GRANDE DA 54</t>
  </si>
  <si>
    <t>1 MEDIO DA 27
1 MEDIO  DA 48
1 GRANDE DA 54
1 GRANDE DA 54
1 GRANDE DA 54</t>
  </si>
  <si>
    <t>1 MEDIO DA 28
1 MEDIO  DA 48
1 GRANDE DA 54
1 GRANDE DA 54
1 GRANDE DA 54</t>
  </si>
  <si>
    <t>1 MEDIO DA 29
1 MEDIO  DA 48
1 GRANDE DA 54
1 GRANDE DA 54
1 GRANDE DA 54</t>
  </si>
  <si>
    <t>1 MEDIO DA 30
1 MEDIO  DA 48
1 GRANDE DA 54
1 GRANDE DA 54
1 GRANDE DA 54</t>
  </si>
  <si>
    <t>123X83XH160
124X80XH209
124X98XH201
124X98XH201
124X98XH201</t>
  </si>
  <si>
    <t>1 MEDIO DA 31
1 MEDIO  DA 48
1 GRANDE DA 54
1 GRANDE DA 54
1 GRANDE DA 54</t>
  </si>
  <si>
    <t>1 MEDIO DA 32
1 MEDIO  DA 48
1 GRANDE DA 54
1 GRANDE DA 54
1 GRANDE DA 54</t>
  </si>
  <si>
    <t>1 MEDIO DA 33
1 MEDIO  DA 48
1 GRANDE DA 54
1 GRANDE DA 54
1 GRANDE DA 54</t>
  </si>
  <si>
    <t>1 MEDIO DA 34
1 MEDIO  DA 48
1 GRANDE DA 54
1 GRANDE DA 54
1 GRANDE DA 54</t>
  </si>
  <si>
    <t>1 MEDIO DA 35
1 MEDIO  DA 48
1 GRANDE DA 54
1 GRANDE DA 54
1 GRANDE DA 54</t>
  </si>
  <si>
    <t>1 MEDIO DA 36
1 MEDIO  DA 48
1 GRANDE DA 54
1 GRANDE DA 54
1 GRANDE DA 54</t>
  </si>
  <si>
    <t>124X85XH200
124X80XH209
124X98XH201
124X98XH201
124X98XH201</t>
  </si>
  <si>
    <t>1 MEDIO DA 37
1 MEDIO  DA 48
1 GRANDE DA 54
1 GRANDE DA 54
1 GRANDE DA 54</t>
  </si>
  <si>
    <t>1 MEDIO DA 38
1 MEDIO  DA 48
1 GRANDE DA 54
1 GRANDE DA 54
1 GRANDE DA 54</t>
  </si>
  <si>
    <t>1 MEDIO DA 39
1 MEDIO  DA 48
1 GRANDE DA 54
1 GRANDE DA 54
1 GRANDE DA 54</t>
  </si>
  <si>
    <t>1 MEDIO DA 40
1 MEDIO  DA 48
1 GRANDE DA 54
1 GRANDE DA 54
1 GRANDE DA 54</t>
  </si>
  <si>
    <t>1 MEDIO DA 41
1 MEDIO  DA 48
1 GRANDE DA 54
1 GRANDE DA 54
1 GRANDE DA 54</t>
  </si>
  <si>
    <t>1 MEDIO DA 42
1 MEDIO  DA 48
1 GRANDE DA 54
1 GRANDE DA 54
1 GRANDE DA 54</t>
  </si>
  <si>
    <t>124X80XH209
124X80XH209
124X98XH201
124X98XH201
124X98XH201</t>
  </si>
  <si>
    <t>1 MEDIO DA 43
1 MEDIO  DA 48
1 GRANDE DA 54
1 GRANDE DA 54
1 GRANDE DA 54</t>
  </si>
  <si>
    <t>1 MEDIO DA 44
1 MEDIO  DA 48
1 GRANDE DA 54
1 GRANDE DA 54
1 GRANDE DA 54</t>
  </si>
  <si>
    <t>1 MEDIO DA 45
1 MEDIO  DA 48
1 GRANDE DA 54
1 GRANDE DA 54
1 GRANDE DA 54</t>
  </si>
  <si>
    <t>1 MEDIO DA 46
1 MEDIO  DA 48
1 GRANDE DA 54
1 GRANDE DA 54
1 GRANDE DA 54</t>
  </si>
  <si>
    <t>1 MEDIO DA 47
1 MEDIO  DA 48
1 GRANDE DA 54
1 GRANDE DA 54
1 GRANDE DA 54</t>
  </si>
  <si>
    <t>1 MEDIO DA 48
1 MEDIO  DA 48
1 GRANDE DA 54
1 GRANDE DA 54
1 GRANDE DA 54</t>
  </si>
  <si>
    <t>124X80XH209
124X98XH201
124X98XH201
124X98XH201
124X98XH201</t>
  </si>
  <si>
    <t>1 MEDIO DA 43
1 GRANDE DA 54
1 GRANDE DA 54
1 GRANDE DA 54
1 GRANDE DA 54</t>
  </si>
  <si>
    <t>1 MEDIO DA 44
1 GRANDE DA 54
1 GRANDE DA 54
1 GRANDE DA 54
1 GRANDE DA 54</t>
  </si>
  <si>
    <t>1 MEDIO DA 45
1 GRANDE DA 54
1 GRANDE DA 54
1 GRANDE DA 54
1 GRANDE DA 54</t>
  </si>
  <si>
    <t>1 MEDIO DA 46
1 GRANDE DA 54
1 GRANDE DA 54
1 GRANDE DA 54
1 GRANDE DA 54</t>
  </si>
  <si>
    <t>1 MEDIO DA 47
1 GRANDE DA 54
1 GRANDE DA 54
1 GRANDE DA 54
1 GRANDE DA 54</t>
  </si>
  <si>
    <t>1 MEDIO DA 48
1 GRANDE DA 54
1 GRANDE DA 54
1 GRANDE DA 54
1 GRANDE DA 54</t>
  </si>
  <si>
    <t>124X98XH201
124X98XH201
124X98XH201
124X98XH201
124X98XH201</t>
  </si>
  <si>
    <t>1 GRANDE DA 49
1 GRANDE DA 54
1 GRANDE DA 54
1 GRANDE DA 54
1 GRANDE DA 54</t>
  </si>
  <si>
    <t>1 GRANDE DA 50
1 GRANDE DA 54
1 GRANDE DA 54
1 GRANDE DA 54
1 GRANDE DA 54</t>
  </si>
  <si>
    <t>1 GRANDE DA 51
1 GRANDE DA 54
1 GRANDE DA 54
1 GRANDE DA 54
1 GRANDE DA 54</t>
  </si>
  <si>
    <t>1 GRANDE DA 52
1 GRANDE DA 54
1 GRANDE DA 54
1 GRANDE DA 54
1 GRANDE DA 54</t>
  </si>
  <si>
    <t>1 GRANDE DA 53
1 GRANDE DA 54
1 GRANDE DA 54
1 GRANDE DA 54
1 GRANDE DA 54</t>
  </si>
  <si>
    <t>1 GRANDE DA 54
1 GRANDE DA 54
1 GRANDE DA 54
1 GRANDE DA 54
1 GRANDE DA 54</t>
  </si>
  <si>
    <t>62X83XH107
124X80XH209
124X98XH201
124X98XH201
124X98XH201
124X98XH201</t>
  </si>
  <si>
    <t>1 PICCOLO DA 7
1 MEDIO DA 48
1 GRANDE DA 54
1 GRANDE DA 54
1 GRANDE DA 54
1 GRANDE DA 54</t>
  </si>
  <si>
    <t>1 PICCOLO DA 8
1 MEDIO DA 48
1 GRANDE DA 54
1 GRANDE DA 54
1 GRANDE DA 54
1 GRANDE DA 54</t>
  </si>
  <si>
    <t>62X83XH137
124X80XH209
124X98XH201
124X98XH201
124X98XH201
124X98XH201</t>
  </si>
  <si>
    <t>1 PICCOLO DA 9
1 MEDIO DA 48
1 GRANDE DA 54
1 GRANDE DA 54
1 GRANDE DA 54
1 GRANDE DA 54</t>
  </si>
  <si>
    <t>1 PICCOLO DA 10
1 MEDIO DA 48
1 GRANDE DA 54
1 GRANDE DA 54
1 GRANDE DA 54
1 GRANDE DA 54</t>
  </si>
  <si>
    <t>1 PICCOLO DA 11
1 MEDIO DA 48
1 GRANDE DA 54
1 GRANDE DA 54
1 GRANDE DA 54
1 GRANDE DA 54</t>
  </si>
  <si>
    <t>1 PICCOLO DA 12
1 MEDIO DA 48
1 GRANDE DA 54
1 GRANDE DA 54
1 GRANDE DA 54
1 GRANDE DA 54</t>
  </si>
  <si>
    <t>61X82XH165
124X80XH209
124X98XH201
124X98XH201
124X98XH201
124X98XH201</t>
  </si>
  <si>
    <t>1 PICCOLO DA 13
1 MEDIO DA 48
1 GRANDE DA 54
1 GRANDE DA 54
1 GRANDE DA 54
1 GRANDE DA 54</t>
  </si>
  <si>
    <t>1 PICCOLO DA 14
1 MEDIO DA 48
1 GRANDE DA 54
1 GRANDE DA 54
1 GRANDE DA 54
1 GRANDE DA 54</t>
  </si>
  <si>
    <t>1 PICCOLO DA 15
1 MEDIO DA 48
1 GRANDE DA 54
1 GRANDE DA 54
1 GRANDE DA 54
1 GRANDE DA 54</t>
  </si>
  <si>
    <t>1 PICCOLO DA 16
1 MEDIO DA 48
1 GRANDE DA 54
1 GRANDE DA 54
1 GRANDE DA 54
1 GRANDE DA 54</t>
  </si>
  <si>
    <t>65X80XH172
124X80XH209
124X98XH201
124X98XH201
124X98XH201
124X98XH201</t>
  </si>
  <si>
    <t>1 PICCOLO DA 17
1 MEDIO DA 48
1 GRANDE DA 54
1 GRANDE DA 54
1 GRANDE DA 54
1 GRANDE DA 54</t>
  </si>
  <si>
    <t>1 PICCOLO DA 18
1 MEDIO DA 48
1 GRANDE DA 54
1 GRANDE DA 54
1 GRANDE DA 54
1 GRANDE DA 54</t>
  </si>
  <si>
    <t>1 PICCOLO DA 19
1 MEDIO DA 48
1 GRANDE DA 54
1 GRANDE DA 54
1 GRANDE DA 54
1 GRANDE DA 54</t>
  </si>
  <si>
    <t>1 PICCOLO DA 20
1 MEDIO DA 48
1 GRANDE DA 54
1 GRANDE DA 54
1 GRANDE DA 54
1 GRANDE DA 54</t>
  </si>
  <si>
    <t>61X82XH165
124X98XH201
124X98XH201
124X98XH201
124X98XH201
124X98XH201</t>
  </si>
  <si>
    <t>1 PICCOLO DA 15
1 GRANDE DA 54
1 GRANDE DA 54
1 GRANDE DA 54
1 GRANDE DA 54
1 GRANDE DA 54</t>
  </si>
  <si>
    <t>1 PICCOLO DA 16
1 GRANDE DA 54
1 GRANDE DA 54
1 GRANDE DA 54
1 GRANDE DA 54
1 GRANDE DA 54</t>
  </si>
  <si>
    <t>65X80XH172
124X98XH201
124X98XH201
124X98XH201
124X98XH201
124X98XH201</t>
  </si>
  <si>
    <t>1 PICCOLO DA 17
1 GRANDE DA 54
1 GRANDE DA 54
1 GRANDE DA 54
1 GRANDE DA 54
1 GRANDE DA 54</t>
  </si>
  <si>
    <t>1 PICCOLO DA 18
1 GRANDE DA 54
1 GRANDE DA 54
1 GRANDE DA 54
1 GRANDE DA 54
1 GRANDE DA 54</t>
  </si>
  <si>
    <t>1 PICCOLO DA 19
1 GRANDE DA 54
1 GRANDE DA 54
1 GRANDE DA 54
1 GRANDE DA 54
1 GRANDE DA 54</t>
  </si>
  <si>
    <t>1 PICCOLO DA 20
1 GRANDE DA 54
1 GRANDE DA 54
1 GRANDE DA 54
1 GRANDE DA 54
1 GRANDE DA 54</t>
  </si>
  <si>
    <t>126X80XH146
124X80XH209
124X98XH201
124X98XH201
124X98XH201
124X98XH201</t>
  </si>
  <si>
    <t>1 MEDIO DA 27
1 MEDIO DA 48
1 GRANDE DA 54
1 GRANDE DA 54
1 GRANDE DA 54
1 GRANDE DA 54</t>
  </si>
  <si>
    <t>1 MEDIO DA 28
1 MEDIO DA 48
1 GRANDE DA 54
1 GRANDE DA 54
1 GRANDE DA 54
1 GRANDE DA 54</t>
  </si>
  <si>
    <t>1 MEDIO DA 29
1 MEDIO DA 48
1 GRANDE DA 54
1 GRANDE DA 54
1 GRANDE DA 54
1 GRANDE DA 54</t>
  </si>
  <si>
    <t>1 MEDIO DA 30
1 MEDIO DA 48
1 GRANDE DA 54
1 GRANDE DA 54
1 GRANDE DA 54
1 GRANDE DA 54</t>
  </si>
  <si>
    <t>1 MEDIO DA 31
1 MEDIO DA 48
1 GRANDE DA 54
1 GRANDE DA 54
1 GRANDE DA 54
1 GRANDE DA 54</t>
  </si>
  <si>
    <t>1 MEDIO DA 32
1 MEDIO DA 48
1 GRANDE DA 54
1 GRANDE DA 54
1 GRANDE DA 54
1 GRANDE DA 54</t>
  </si>
  <si>
    <t>1 MEDIO DA 33
1 MEDIO DA 48
1 GRANDE DA 54
1 GRANDE DA 54
1 GRANDE DA 54
1 GRANDE DA 54</t>
  </si>
  <si>
    <t>1 MEDIO DA 34
1 MEDIO DA 48
1 GRANDE DA 54
1 GRANDE DA 54
1 GRANDE DA 54
1 GRANDE DA 54</t>
  </si>
  <si>
    <t>1 MEDIO DA 35
1 MEDIO DA 48
1 GRANDE DA 54
1 GRANDE DA 54
1 GRANDE DA 54
1 GRANDE DA 54</t>
  </si>
  <si>
    <t>1 MEDIO DA 36
1 MEDIO DA 48
1 GRANDE DA 54
1 GRANDE DA 54
1 GRANDE DA 54
1 GRANDE DA 54</t>
  </si>
  <si>
    <t>123X83XH160
124X80XH209
124X98XH201
124X98XH201
124X98XH201
124X98XH201</t>
  </si>
  <si>
    <t>1 MEDIO DA 37
1 MEDIO DA 48
1 GRANDE DA 54
1 GRANDE DA 54
1 GRANDE DA 54
1 GRANDE DA 54</t>
  </si>
  <si>
    <t>1 MEDIO DA 38
1 MEDIO DA 48
1 GRANDE DA 54
1 GRANDE DA 54
1 GRANDE DA 54
1 GRANDE DA 54</t>
  </si>
  <si>
    <t>1 MEDIO DA 39
1 MEDIO DA 48
1 GRANDE DA 54
1 GRANDE DA 54
1 GRANDE DA 54
1 GRANDE DA 54</t>
  </si>
  <si>
    <t>1 MEDIO DA 40
1 MEDIO DA 48
1 GRANDE DA 54
1 GRANDE DA 54
1 GRANDE DA 54
1 GRANDE DA 54</t>
  </si>
  <si>
    <t>1 MEDIO DA 41
1 MEDIO DA 48
1 GRANDE DA 54
1 GRANDE DA 54
1 GRANDE DA 54
1 GRANDE DA 54</t>
  </si>
  <si>
    <t>1 MEDIO DA 42
1 MEDIO DA 48
1 GRANDE DA 54
1 GRANDE DA 54
1 GRANDE DA 54
1 GRANDE DA 54</t>
  </si>
  <si>
    <t>124X80XH209
124X80XH209
124X98XH201
124X98XH201
124X98XH201
124X98XH201</t>
  </si>
  <si>
    <t>1 MEDIO DA 43
1 MEDIO DA 48
1 GRANDE DA 54
1 GRANDE DA 54
1 GRANDE DA 54
1 GRANDE DA 54</t>
  </si>
  <si>
    <t>1 MEDIO DA 44
1 MEDIO DA 48
1 GRANDE DA 54
1 GRANDE DA 54
1 GRANDE DA 54
1 GRANDE DA 54</t>
  </si>
  <si>
    <t>1 MEDIO DA 45
1 MEDIO DA 48
1 GRANDE DA 54
1 GRANDE DA 54
1 GRANDE DA 54
1 GRANDE DA 54</t>
  </si>
  <si>
    <t>1 MEDIO DA 46
1 MEDIO DA 48
1 GRANDE DA 54
1 GRANDE DA 54
1 GRANDE DA 54
1 GRANDE DA 54</t>
  </si>
  <si>
    <t>1 MEDIO DA 47
1 MEDIO DA 48
1 GRANDE DA 54
1 GRANDE DA 54
1 GRANDE DA 54
1 GRANDE DA 54</t>
  </si>
  <si>
    <t>1 MEDIO DA 48
1 MEDIO DA 48
1 GRANDE DA 54
1 GRANDE DA 54
1 GRANDE DA 54
1 GRANDE DA 54</t>
  </si>
  <si>
    <t>1 MEDIO DA 43
1 GRANDE DA 54
1 GRANDE DA 54
1 GRANDE DA 54
1 GRANDE DA 54
1 GRANDE DA 54</t>
  </si>
  <si>
    <t>124X80XH209
124X98XH201
124X98XH201
124X98XH201
124X98XH201
124X98XH201</t>
  </si>
  <si>
    <t>1 MEDIO DA 44
1 GRANDE DA 54
1 GRANDE DA 54
1 GRANDE DA 54
1 GRANDE DA 54
1 GRANDE DA 54</t>
  </si>
  <si>
    <t>1 MEDIO DA 45
1 GRANDE DA 54
1 GRANDE DA 54
1 GRANDE DA 54
1 GRANDE DA 54
1 GRANDE DA 54</t>
  </si>
  <si>
    <t>1 MEDIO DA 46
1 GRANDE DA 54
1 GRANDE DA 54
1 GRANDE DA 54
1 GRANDE DA 54
1 GRANDE DA 54</t>
  </si>
  <si>
    <t>1 MEDIO DA 47
1 GRANDE DA 54
1 GRANDE DA 54
1 GRANDE DA 54
1 GRANDE DA 54
1 GRANDE DA 54</t>
  </si>
  <si>
    <t>1 MEDIO DA 48
1 GRANDE DA 54
1 GRANDE DA 54
1 GRANDE DA 54
1 GRANDE DA 54
1 GRANDE DA 54</t>
  </si>
  <si>
    <t>124X98XH201
124X98XH201
124X98XH201
124X98XH201
124X98XH201
124X98XH201</t>
  </si>
  <si>
    <t>1 GRANDE DA 49
1 GRANDE DA 54
1 GRANDE DA 54
1 GRANDE DA 54
1 GRANDE DA 54
1 GRANDE DA 54</t>
  </si>
  <si>
    <t>1 GRANDE DA 50
1 GRANDE DA 54
1 GRANDE DA 54
1 GRANDE DA 54
1 GRANDE DA 54
1 GRANDE DA 54</t>
  </si>
  <si>
    <t>1 GRANDE DA 51
1 GRANDE DA 54
1 GRANDE DA 54
1 GRANDE DA 54
1 GRANDE DA 54
1 GRANDE DA 54</t>
  </si>
  <si>
    <t>1 GRANDE DA 52
1 GRANDE DA 54
1 GRANDE DA 54
1 GRANDE DA 54
1 GRANDE DA 54
1 GRANDE DA 54</t>
  </si>
  <si>
    <t>1 GRANDE DA 53
1 GRANDE DA 54
1 GRANDE DA 54
1 GRANDE DA 54
1 GRANDE DA 54
1 GRANDE DA 54</t>
  </si>
  <si>
    <t>1 GRANDE DA 54
1 GRANDE DA 54
1 GRANDE DA 54
1 GRANDE DA 54
1 GRANDE DA 54
1 GRANDE DA 54</t>
  </si>
  <si>
    <t>62X83XH107
124X80XH209
124X98XH201
124X98XH201
124X98XH201
124X98XH201
124X98XH201</t>
  </si>
  <si>
    <t>1 PICCOLO DA 7
1 MEDIO DA 48
1 GRANDE DA 54
1 GRANDE DA 54
1 GRANDE DA 54
1 GRANDE DA 54
1 GRANDE DA 54</t>
  </si>
  <si>
    <t>1 PICCOLO DA 8
1 MEDIO DA 48
1 GRANDE DA 54
1 GRANDE DA 54
1 GRANDE DA 54
1 GRANDE DA 54
1 GRANDE DA 54</t>
  </si>
  <si>
    <t>62X83XH137
124X80XH209
124X98XH201
124X98XH201
124X98XH201
124X98XH201
124X98XH201</t>
  </si>
  <si>
    <t>1 PICCOLO DA 9
1 MEDIO DA 48
1 GRANDE DA 54
1 GRANDE DA 54
1 GRANDE DA 54
1 GRANDE DA 54
1 GRANDE DA 54</t>
  </si>
  <si>
    <t>1 PICCOLO DA 10
1 MEDIO DA 48
1 GRANDE DA 54
1 GRANDE DA 54
1 GRANDE DA 54
1 GRANDE DA 54
1 GRANDE DA 54</t>
  </si>
  <si>
    <t>1 PICCOLO DA 11
1 MEDIO DA 48
1 GRANDE DA 54
1 GRANDE DA 54
1 GRANDE DA 54
1 GRANDE DA 54
1 GRANDE DA 54</t>
  </si>
  <si>
    <t>1 PICCOLO DA 12
1 MEDIO DA 48
1 GRANDE DA 54
1 GRANDE DA 54
1 GRANDE DA 54
1 GRANDE DA 54
1 GRANDE DA 54</t>
  </si>
  <si>
    <t>61X82XH165
124X80XH209
124X98XH201
124X98XH201
124X98XH201
124X98XH201
124X98XH201</t>
  </si>
  <si>
    <t>1 PICCOLO DA 13
1 MEDIO DA 48
1 GRANDE DA 54
1 GRANDE DA 54
1 GRANDE DA 54
1 GRANDE DA 54
1 GRANDE DA 54</t>
  </si>
  <si>
    <t>1 PICCOLO DA 14
1 MEDIO DA 48
1 GRANDE DA 54
1 GRANDE DA 54
1 GRANDE DA 54
1 GRANDE DA 54
1 GRANDE DA 54</t>
  </si>
  <si>
    <t>1 PICCOLO DA 15
1 MEDIO DA 48
1 GRANDE DA 54
1 GRANDE DA 54
1 GRANDE DA 54
1 GRANDE DA 54
1 GRANDE DA 54</t>
  </si>
  <si>
    <t>1 PICCOLO DA 16
1 MEDIO DA 48
1 GRANDE DA 54
1 GRANDE DA 54
1 GRANDE DA 54
1 GRANDE DA 54
1 GRANDE DA 54</t>
  </si>
  <si>
    <t>65X80XH172
124X80XH209
124X98XH201
124X98XH201
124X98XH201
124X98XH201
124X98XH201</t>
  </si>
  <si>
    <t>1 PICCOLO DA 17
1 MEDIO DA 48
1 GRANDE DA 54
1 GRANDE DA 54
1 GRANDE DA 54
1 GRANDE DA 54
1 GRANDE DA 54</t>
  </si>
  <si>
    <t>1 PICCOLO DA 18
1 MEDIO DA 48
1 GRANDE DA 54
1 GRANDE DA 54
1 GRANDE DA 54
1 GRANDE DA 54
1 GRANDE DA 54</t>
  </si>
  <si>
    <t>1 PICCOLO DA 19
1 MEDIO DA 48
1 GRANDE DA 54
1 GRANDE DA 54
1 GRANDE DA 54
1 GRANDE DA 54
1 GRANDE DA 54</t>
  </si>
  <si>
    <t>1 PICCOLO DA 20
1 MEDIO DA 48
1 GRANDE DA 54
1 GRANDE DA 54
1 GRANDE DA 54
1 GRANDE DA 54
1 GRANDE DA 54</t>
  </si>
  <si>
    <t>61X82XH165
124X98XH201
124X98XH201
124X98XH201
124X98XH201
124X98XH201
124X98XH201</t>
  </si>
  <si>
    <t>1 PICCOLO DA 15
1 GRANDE DA 54
1 GRANDE DA 54
1 GRANDE DA 54
1 GRANDE DA 54
1 GRANDE DA 54
1 GRANDE DA 54</t>
  </si>
  <si>
    <t>1 PICCOLO DA 16
1 GRANDE DA 54
1 GRANDE DA 54
1 GRANDE DA 54
1 GRANDE DA 54
1 GRANDE DA 54
1 GRANDE DA 54</t>
  </si>
  <si>
    <t>65X80XH172
124X98XH201
124X98XH201
124X98XH201
124X98XH201
124X98XH201
124X98XH201</t>
  </si>
  <si>
    <t>1 PICCOLO DA 17
1 GRANDE DA 54
1 GRANDE DA 54
1 GRANDE DA 54
1 GRANDE DA 54
1 GRANDE DA 54
1 GRANDE DA 54</t>
  </si>
  <si>
    <t>1 PICCOLO DA 18
1 GRANDE DA 54
1 GRANDE DA 54
1 GRANDE DA 54
1 GRANDE DA 54
1 GRANDE DA 54
1 GRANDE DA 54</t>
  </si>
  <si>
    <t>1 PICCOLO DA 19
1 GRANDE DA 54
1 GRANDE DA 54
1 GRANDE DA 54
1 GRANDE DA 54
1 GRANDE DA 54
1 GRANDE DA 54</t>
  </si>
  <si>
    <t>1 PICCOLO DA 20
1 GRANDE DA 54
1 GRANDE DA 54
1 GRANDE DA 54
1 GRANDE DA 54
1 GRANDE DA 54
1 GRANDE DA 54</t>
  </si>
  <si>
    <t>126X80XH146
124X80XH209
124X98XH201
124X98XH201
124X98XH201
124X98XH201
124X98XH201</t>
  </si>
  <si>
    <t>1 MEDIO 27
1 MEDIO DA 48
1 GRANDE DA 54
1 GRANDE DA 54
1 GRANDE DA 54
1 GRANDE DA 54
1 GRANDE DA 54</t>
  </si>
  <si>
    <t>1 MEDIO 28
1 MEDIO DA 48
1 GRANDE DA 54
1 GRANDE DA 54
1 GRANDE DA 54
1 GRANDE DA 54
1 GRANDE DA 54</t>
  </si>
  <si>
    <t>1 MEDIO 29
1 MEDIO DA 48
1 GRANDE DA 54
1 GRANDE DA 54
1 GRANDE DA 54
1 GRANDE DA 54
1 GRANDE DA 54</t>
  </si>
  <si>
    <t>1 MEDIO 30
1 MEDIO DA 48
1 GRANDE DA 54
1 GRANDE DA 54
1 GRANDE DA 54
1 GRANDE DA 54
1 GRANDE DA 54</t>
  </si>
  <si>
    <t>123X83XH160
124X80XH209
124X98XH201
124X98XH201
124X98XH201
124X98XH201
124X98XH201</t>
  </si>
  <si>
    <t>1 MEDIO 31
1 MEDIO DA 48
1 GRANDE DA 54
1 GRANDE DA 54
1 GRANDE DA 54
1 GRANDE DA 54
1 GRANDE DA 54</t>
  </si>
  <si>
    <t>1 MEDIO 32
1 MEDIO DA 48
1 GRANDE DA 54
1 GRANDE DA 54
1 GRANDE DA 54
1 GRANDE DA 54
1 GRANDE DA 54</t>
  </si>
  <si>
    <t>1 MEDIO 33
1 MEDIO DA 48
1 GRANDE DA 54
1 GRANDE DA 54
1 GRANDE DA 54
1 GRANDE DA 54
1 GRANDE DA 54</t>
  </si>
  <si>
    <t>1 MEDIO 34
1 MEDIO DA 48
1 GRANDE DA 54
1 GRANDE DA 54
1 GRANDE DA 54
1 GRANDE DA 54
1 GRANDE DA 54</t>
  </si>
  <si>
    <t>1 MEDIO 35
1 MEDIO DA 48
1 GRANDE DA 54
1 GRANDE DA 54
1 GRANDE DA 54
1 GRANDE DA 54
1 GRANDE DA 54</t>
  </si>
  <si>
    <t>1 MEDIO 36
1 MEDIO DA 48
1 GRANDE DA 54
1 GRANDE DA 54
1 GRANDE DA 54
1 GRANDE DA 54
1 GRANDE DA 54</t>
  </si>
  <si>
    <t>124X85XH200
124X80XH209
124X98XH201
124X98XH201
124X98XH201
124X98XH201
124X98XH201</t>
  </si>
  <si>
    <t>1 MEDIO 37
1 MEDIO DA 48
1 GRANDE DA 54
1 GRANDE DA 54
1 GRANDE DA 54
1 GRANDE DA 54
1 GRANDE DA 54</t>
  </si>
  <si>
    <t>1 MEDIO 38
1 MEDIO DA 48
1 GRANDE DA 54
1 GRANDE DA 54
1 GRANDE DA 54
1 GRANDE DA 54
1 GRANDE DA 54</t>
  </si>
  <si>
    <t>1 MEDIO 39
1 MEDIO DA 48
1 GRANDE DA 54
1 GRANDE DA 54
1 GRANDE DA 54
1 GRANDE DA 54
1 GRANDE DA 54</t>
  </si>
  <si>
    <t>1 MEDIO 40
1 MEDIO DA 48
1 GRANDE DA 54
1 GRANDE DA 54
1 GRANDE DA 54
1 GRANDE DA 54
1 GRANDE DA 54</t>
  </si>
  <si>
    <t>1 MEDIO 41
1 MEDIO DA 48
1 GRANDE DA 54
1 GRANDE DA 54
1 GRANDE DA 54
1 GRANDE DA 54
1 GRANDE DA 54</t>
  </si>
  <si>
    <t>1 MEDIO 42
1 MEDIO DA 48
1 GRANDE DA 54
1 GRANDE DA 54
1 GRANDE DA 54
1 GRANDE DA 54
1 GRANDE DA 54</t>
  </si>
  <si>
    <t>124X80XH209
124X80XH209
124X98XH201
124X98XH201
124X98XH201
124X98XH201
124X98XH201</t>
  </si>
  <si>
    <t>1 MEDIO 43
1 MEDIO DA 48
1 GRANDE DA 54
1 GRANDE DA 54
1 GRANDE DA 54
1 GRANDE DA 54
1 GRANDE DA 54</t>
  </si>
  <si>
    <t>1 MEDIO 44
1 MEDIO DA 48
1 GRANDE DA 54
1 GRANDE DA 54
1 GRANDE DA 54
1 GRANDE DA 54
1 GRANDE DA 54</t>
  </si>
  <si>
    <t>1 MEDIO 45
1 MEDIO DA 48
1 GRANDE DA 54
1 GRANDE DA 54
1 GRANDE DA 54
1 GRANDE DA 54
1 GRANDE DA 54</t>
  </si>
  <si>
    <t>1 MEDIO 46
1 MEDIO DA 48
1 GRANDE DA 54
1 GRANDE DA 54
1 GRANDE DA 54
1 GRANDE DA 54
1 GRANDE DA 54</t>
  </si>
  <si>
    <t>1 MEDIO 47
1 MEDIO DA 48
1 GRANDE DA 54
1 GRANDE DA 54
1 GRANDE DA 54
1 GRANDE DA 54
1 GRANDE DA 54</t>
  </si>
  <si>
    <t>1 MEDIO 48
1 MEDIO DA 48
1 GRANDE DA 54
1 GRANDE DA 54
1 GRANDE DA 54
1 GRANDE DA 54
1 GRANDE DA 54</t>
  </si>
  <si>
    <t>124X80XH209
124X98XH201
124X98XH201
124X98XH201
124X98XH201
124X98XH201
124X98XH201</t>
  </si>
  <si>
    <t>1 MEDIO 43
1 GRANDE DA 54
1 GRANDE DA 54
1 GRANDE DA 54
1 GRANDE DA 54
1 GRANDE DA 54
1 GRANDE DA 54</t>
  </si>
  <si>
    <t>1 MEDIO 44
1 GRANDE DA 54
1 GRANDE DA 54
1 GRANDE DA 54
1 GRANDE DA 54
1 GRANDE DA 54
1 GRANDE DA 54</t>
  </si>
  <si>
    <t>1 MEDIO 45
1 GRANDE DA 54
1 GRANDE DA 54
1 GRANDE DA 54
1 GRANDE DA 54
1 GRANDE DA 54
1 GRANDE DA 54</t>
  </si>
  <si>
    <t>1 MEDIO 46
1 GRANDE DA 54
1 GRANDE DA 54
1 GRANDE DA 54
1 GRANDE DA 54
1 GRANDE DA 54
1 GRANDE DA 54</t>
  </si>
  <si>
    <t>1 MEDIO 47
1 GRANDE DA 54
1 GRANDE DA 54
1 GRANDE DA 54
1 GRANDE DA 54
1 GRANDE DA 54
1 GRANDE DA 54</t>
  </si>
  <si>
    <t>1 MEDIO 48
1 GRANDE DA 54
1 GRANDE DA 54
1 GRANDE DA 54
1 GRANDE DA 54
1 GRANDE DA 54
1 GRANDE DA 54</t>
  </si>
  <si>
    <t>124X98XH201
124X98XH201
124X98XH201
124X98XH201
124X98XH201
124X98XH201
124X98XH201</t>
  </si>
  <si>
    <t>1 GRANDE DA 49
1 GRANDE DA 54
1 GRANDE DA 54
1 GRANDE DA 54
1 GRANDE DA 54
1 GRANDE DA 54
1 GRANDE DA 54</t>
  </si>
  <si>
    <t>1 GRANDE DA 50
1 GRANDE DA 54
1 GRANDE DA 54
1 GRANDE DA 54
1 GRANDE DA 54
1 GRANDE DA 54
1 GRANDE DA 54</t>
  </si>
  <si>
    <t>1 GRANDE DA 51
1 GRANDE DA 54
1 GRANDE DA 54
1 GRANDE DA 54
1 GRANDE DA 54
1 GRANDE DA 54
1 GRANDE DA 54</t>
  </si>
  <si>
    <t>1 GRANDE DA 52
1 GRANDE DA 54
1 GRANDE DA 54
1 GRANDE DA 54
1 GRANDE DA 54
1 GRANDE DA 54
1 GRANDE DA 54</t>
  </si>
  <si>
    <t>1 GRANDE DA 53
1 GRANDE DA 54
1 GRANDE DA 54
1 GRANDE DA 54
1 GRANDE DA 54
1 GRANDE DA 54
1 GRANDE DA 54</t>
  </si>
  <si>
    <t>1 GRANDE DA 54
1 GRANDE DA 54
1 GRANDE DA 54
1 GRANDE DA 54
1 GRANDE DA 54
1 GRANDE DA 54
1 GRANDE DA 54</t>
  </si>
  <si>
    <t>62X83XH107
124X80XH209
124X98XH201
124X98XH201
124X98XH201
124X98XH201
124X98XH201
124X98XH201</t>
  </si>
  <si>
    <t>1 PICCOLO DA 7
1 MEDIO DA 48
1 GRANDE DA 54
1 GRANDE DA 54
1 GRANDE DA 54
1 GRANDE DA 54
1 GRANDE DA 54
1 GRANDE DA 54</t>
  </si>
  <si>
    <t>1 PICCOLO DA 8
1 MEDIO DA 48
1 GRANDE DA 54
1 GRANDE DA 54
1 GRANDE DA 54
1 GRANDE DA 54
1 GRANDE DA 54
1 GRANDE DA 54</t>
  </si>
  <si>
    <t>62X83XH137
124X80XH209
124X98XH201
124X98XH201
124X98XH201
124X98XH201
124X98XH201
124X98XH201</t>
  </si>
  <si>
    <t>1 PICCOLO DA 9
1 MEDIO DA 48
1 GRANDE DA 54
1 GRANDE DA 54
1 GRANDE DA 54
1 GRANDE DA 54
1 GRANDE DA 54
1 GRANDE DA 54</t>
  </si>
  <si>
    <t>1 PICCOLO DA 10
1 MEDIO DA 48
1 GRANDE DA 54
1 GRANDE DA 54
1 GRANDE DA 54
1 GRANDE DA 54
1 GRANDE DA 54
1 GRANDE DA 54</t>
  </si>
  <si>
    <t>1 PICCOLO DA 11
1 MEDIO DA 48
1 GRANDE DA 54
1 GRANDE DA 54
1 GRANDE DA 54
1 GRANDE DA 54
1 GRANDE DA 54
1 GRANDE DA 54</t>
  </si>
  <si>
    <t>1 PICCOLO DA 12
1 MEDIO DA 48
1 GRANDE DA 54
1 GRANDE DA 54
1 GRANDE DA 54
1 GRANDE DA 54
1 GRANDE DA 54
1 GRANDE DA 54</t>
  </si>
  <si>
    <t>61X82XH165
124X80XH209
124X98XH201
124X98XH201
124X98XH201
124X98XH201
124X98XH201
124X98XH201</t>
  </si>
  <si>
    <t>1 PICCOLO DA 13
1 MEDIO DA 48
1 GRANDE DA 54
1 GRANDE DA 54
1 GRANDE DA 54
1 GRANDE DA 54
1 GRANDE DA 54
1 GRANDE DA 54</t>
  </si>
  <si>
    <t>1 PICCOLO DA 14
1 MEDIO DA 48
1 GRANDE DA 54
1 GRANDE DA 54
1 GRANDE DA 54
1 GRANDE DA 54
1 GRANDE DA 54
1 GRANDE DA 54</t>
  </si>
  <si>
    <t>1 PICCOLO DA 15
1 MEDIO DA 48
1 GRANDE DA 54
1 GRANDE DA 54
1 GRANDE DA 54
1 GRANDE DA 54
1 GRANDE DA 54
1 GRANDE DA 54</t>
  </si>
  <si>
    <t>1 PICCOLO DA 16
1 MEDIO DA 48
1 GRANDE DA 54
1 GRANDE DA 54
1 GRANDE DA 54
1 GRANDE DA 54
1 GRANDE DA 54
1 GRANDE DA 54</t>
  </si>
  <si>
    <t>65X80XH172
124X80XH209
124X98XH201
124X98XH201
124X98XH201
124X98XH201
124X98XH201
124X98XH201</t>
  </si>
  <si>
    <t>1 PICCOLO DA 17
1 MEDIO DA 48
1 GRANDE DA 54
1 GRANDE DA 54
1 GRANDE DA 54
1 GRANDE DA 54
1 GRANDE DA 54
1 GRANDE DA 54</t>
  </si>
  <si>
    <t>1 PICCOLO DA 18
1 MEDIO DA 48
1 GRANDE DA 54
1 GRANDE DA 54
1 GRANDE DA 54
1 GRANDE DA 54
1 GRANDE DA 54
1 GRANDE DA 54</t>
  </si>
  <si>
    <t>1 PICCOLO DA 19
1 MEDIO DA 48
1 GRANDE DA 54
1 GRANDE DA 54
1 GRANDE DA 54
1 GRANDE DA 54
1 GRANDE DA 54
1 GRANDE DA 54</t>
  </si>
  <si>
    <t>1 PICCOLO DA 20
1 MEDIO DA 48
1 GRANDE DA 54
1 GRANDE DA 54
1 GRANDE DA 54
1 GRANDE DA 54
1 GRANDE DA 54
1 GRANDE DA 54</t>
  </si>
  <si>
    <t>61X82XH165
124X98XH201
124X98XH201
124X98XH201
124X98XH201
124X98XH201
124X98XH201
124X98XH201</t>
  </si>
  <si>
    <t>1 PICCOLO DA 15
1 GRANDE DA 54
1 GRANDE DA 54
1 GRANDE DA 54
1 GRANDE DA 54
1 GRANDE DA 54
1 GRANDE DA 54
1 GRANDE DA 54</t>
  </si>
  <si>
    <t>1 PICCOLO DA 16
1 GRANDE DA 54
1 GRANDE DA 54
1 GRANDE DA 54
1 GRANDE DA 54
1 GRANDE DA 54
1 GRANDE DA 54
1 GRANDE DA 54</t>
  </si>
  <si>
    <t>1 PICCOLO DA 17
1 GRANDE DA 54
1 GRANDE DA 54
1 GRANDE DA 54
1 GRANDE DA 54
1 GRANDE DA 54
1 GRANDE DA 54
1 GRANDE DA 54</t>
  </si>
  <si>
    <t>1 PICCOLO DA 18
1 GRANDE DA 54
1 GRANDE DA 54
1 GRANDE DA 54
1 GRANDE DA 54
1 GRANDE DA 54
1 GRANDE DA 54
1 GRANDE DA 54</t>
  </si>
  <si>
    <t>1 PICCOLO DA 19
1 GRANDE DA 54
1 GRANDE DA 54
1 GRANDE DA 54
1 GRANDE DA 54
1 GRANDE DA 54
1 GRANDE DA 54
1 GRANDE DA 54</t>
  </si>
  <si>
    <t>1 PICCOLO DA 20
1 GRANDE DA 54
1 GRANDE DA 54
1 GRANDE DA 54
1 GRANDE DA 54
1 GRANDE DA 54
1 GRANDE DA 54
1 GRANDE DA 54</t>
  </si>
  <si>
    <t>126X80XH146
124X80XH201
124X98XH201
124X98XH201
124X98XH201
124X98XH201
124X98XH201
124X98XH201</t>
  </si>
  <si>
    <t>1 MEDIO DA 27
1 MEDIO DA 48
1 GRANDE DA 54
1 GRANDE DA 54
1 GRANDE DA 54
1 GRANDE DA 54
1 GRANDE DA 54
1 GRANDE DA 54</t>
  </si>
  <si>
    <t>1 MEDIO DA 28
1 MEDIO DA 48
1 GRANDE DA 54
1 GRANDE DA 54
1 GRANDE DA 54
1 GRANDE DA 54
1 GRANDE DA 54
1 GRANDE DA 54</t>
  </si>
  <si>
    <t>1 MEDIO DA 29
1 MEDIO DA 48
1 GRANDE DA 54
1 GRANDE DA 54
1 GRANDE DA 54
1 GRANDE DA 54
1 GRANDE DA 54
1 GRANDE DA 54</t>
  </si>
  <si>
    <t>1 MEDIO DA 30
1 MEDIO DA 48
1 GRANDE DA 54
1 GRANDE DA 54
1 GRANDE DA 54
1 GRANDE DA 54
1 GRANDE DA 54
1 GRANDE DA 54</t>
  </si>
  <si>
    <t>123X83XH160
124X80XH201
124X98XH201
124X98XH201
124X98XH201
124X98XH201
124X98XH201
124X98XH201</t>
  </si>
  <si>
    <t>1 MEDIO DA 31
1 MEDIO DA 48
1 GRANDE DA 54
1 GRANDE DA 54
1 GRANDE DA 54
1 GRANDE DA 54
1 GRANDE DA 54
1 GRANDE DA 54</t>
  </si>
  <si>
    <t>1 MEDIO DA 32
1 MEDIO DA 48
1 GRANDE DA 54
1 GRANDE DA 54
1 GRANDE DA 54
1 GRANDE DA 54
1 GRANDE DA 54
1 GRANDE DA 54</t>
  </si>
  <si>
    <t>1 MEDIO DA 33
1 MEDIO DA 48
1 GRANDE DA 54
1 GRANDE DA 54
1 GRANDE DA 54
1 GRANDE DA 54
1 GRANDE DA 54
1 GRANDE DA 54</t>
  </si>
  <si>
    <t>1 MEDIO DA 34
1 MEDIO DA 48
1 GRANDE DA 54
1 GRANDE DA 54
1 GRANDE DA 54
1 GRANDE DA 54
1 GRANDE DA 54
1 GRANDE DA 54</t>
  </si>
  <si>
    <t>1 MEDIO DA 35
1 MEDIO DA 48
1 GRANDE DA 54
1 GRANDE DA 54
1 GRANDE DA 54
1 GRANDE DA 54
1 GRANDE DA 54
1 GRANDE DA 54</t>
  </si>
  <si>
    <t>1 MEDIO DA 36
1 MEDIO DA 48
1 GRANDE DA 54
1 GRANDE DA 54
1 GRANDE DA 54
1 GRANDE DA 54
1 GRANDE DA 54
1 GRANDE DA 54</t>
  </si>
  <si>
    <t>10X15</t>
  </si>
  <si>
    <t>13X18</t>
  </si>
  <si>
    <t>20X25</t>
  </si>
  <si>
    <t>SCATOLE NATALINI</t>
  </si>
  <si>
    <t>SENZA SCATOLE</t>
  </si>
  <si>
    <t>21 CORNICI</t>
  </si>
  <si>
    <t>SUL LATO STRETTO</t>
  </si>
  <si>
    <t>5 CORNICI</t>
  </si>
  <si>
    <t>L'ALTO</t>
  </si>
  <si>
    <t>4 CORNICI SUL</t>
  </si>
  <si>
    <t>LATO LUNGO</t>
  </si>
  <si>
    <t>MESSE SULLE 4 CORNICI DEL PRIMO RIPIANO</t>
  </si>
  <si>
    <t>RIPIANO 1</t>
  </si>
  <si>
    <t>RIPIANO 2</t>
  </si>
  <si>
    <r>
      <t>CON</t>
    </r>
    <r>
      <rPr>
        <u/>
        <sz val="11"/>
        <color theme="1"/>
        <rFont val="Calibri"/>
        <family val="2"/>
        <scheme val="minor"/>
      </rPr>
      <t xml:space="preserve"> SCHIENA VERSO</t>
    </r>
  </si>
  <si>
    <t>PER LATO</t>
  </si>
  <si>
    <t>PER FILA</t>
  </si>
  <si>
    <t>18 CORNICI</t>
  </si>
  <si>
    <t>10X15 20 SCATOLE NATALINI</t>
  </si>
  <si>
    <t>10X15 30 SCATOLE NATALINI</t>
  </si>
  <si>
    <t>13X18 20 SCATOLE NATALINI</t>
  </si>
  <si>
    <t>3 CORNICI SUL</t>
  </si>
  <si>
    <t>17 CORNICI</t>
  </si>
  <si>
    <t>4 CORNICI</t>
  </si>
  <si>
    <t>13X18 30 SCATOLE NATALINI</t>
  </si>
  <si>
    <t>3 CORNICI</t>
  </si>
  <si>
    <t>CON IL MOUSE SELEZIONARE I DATI DEL FOGLIO "RIEPILOGO CORNICI PER SPESSORE" A PARTIRE DA TESTO "TOTALE PER SPESSORE 20" FINO A TUTTO IL VALORE DEL 20X25</t>
  </si>
  <si>
    <t>DA OCM FARE ESEGUIRE PIANIFICAZIONE TAGLIO A VIDEO. SELEZIONARE MACCHINA 1 O 2 E' INDIFFERENTE.</t>
  </si>
  <si>
    <t>SCATOLE INTERE</t>
  </si>
  <si>
    <t>CORNICI AVANZATE</t>
  </si>
  <si>
    <t>PROPOSTA SCATOLE MISTE</t>
  </si>
  <si>
    <t>DIMENSIONE SPEDIZIONE SU PALLET</t>
  </si>
  <si>
    <t>SCATOLE TOTALI (ARR X ECCESSO DI 1)</t>
  </si>
  <si>
    <t>PESO TOTALE</t>
  </si>
  <si>
    <t>LE CORNICI VERSO</t>
  </si>
  <si>
    <t xml:space="preserve">L'ESTERNO DEVONO </t>
  </si>
  <si>
    <t xml:space="preserve">SEMPRE AVERE LO </t>
  </si>
  <si>
    <t xml:space="preserve">SCHIENALE A </t>
  </si>
  <si>
    <t xml:space="preserve">CONTATTO CON IL </t>
  </si>
  <si>
    <t>CARTONE</t>
  </si>
  <si>
    <t>13X18 30 SCATOLE NEUTRE</t>
  </si>
  <si>
    <t>10X15 20+30 E 13X18 DEL 20 SCATOLE NEUTRE</t>
  </si>
  <si>
    <t>12 CORNICI</t>
  </si>
  <si>
    <t>2 CORNICI SUL</t>
  </si>
  <si>
    <t>1 DELLE DUE DEVE ESSERE UN PO' APERTA</t>
  </si>
  <si>
    <t xml:space="preserve"> PER POTER ESSERE INFILATA SENZA ROVINARE IL CARTONE</t>
  </si>
  <si>
    <t>2 CORNICI</t>
  </si>
  <si>
    <t>20X25 20+30 SCATOLE NEUTRE</t>
  </si>
  <si>
    <t>13 CORNICI</t>
  </si>
  <si>
    <t>1 CORNIC1</t>
  </si>
  <si>
    <t>SUL LATO LUNGO</t>
  </si>
  <si>
    <t>SCATOLE BIANCHE NEUTRE</t>
  </si>
  <si>
    <t>INCOLLARE NELLA CELLA A10 EVIDENZIATA IN GIALLO</t>
  </si>
  <si>
    <t xml:space="preserve">Totale per spessore 20          </t>
  </si>
  <si>
    <t xml:space="preserve">       </t>
  </si>
  <si>
    <t xml:space="preserve">      </t>
  </si>
  <si>
    <t xml:space="preserve">Totale per spessore 30          </t>
  </si>
  <si>
    <t xml:space="preserve">     </t>
  </si>
  <si>
    <t>BANCALE PICCOLO</t>
  </si>
  <si>
    <t>BANCALE MEDIO</t>
  </si>
  <si>
    <t>BANCALE GRANDE</t>
  </si>
  <si>
    <t>SCATOLA PER MEDIO</t>
  </si>
  <si>
    <t>SCATOLA PER PICCOLO</t>
  </si>
  <si>
    <t>SCATOLA PER GRANDE</t>
  </si>
  <si>
    <t>LARG</t>
  </si>
  <si>
    <t>ALT</t>
  </si>
  <si>
    <t>LUNG</t>
  </si>
  <si>
    <t>SCATOLE PER RIPIANO BANCALE PICCOLO</t>
  </si>
  <si>
    <t>SCATOLE PER RIPIANO BANCALE MEDIO</t>
  </si>
  <si>
    <t>SCATOLE PER RIPIANO BANCALE GRANDE</t>
  </si>
  <si>
    <t>TOT SCAT</t>
  </si>
  <si>
    <t>0-4</t>
  </si>
  <si>
    <t>9-12</t>
  </si>
  <si>
    <t>5-8</t>
  </si>
  <si>
    <t>13-16</t>
  </si>
  <si>
    <t>17-20</t>
  </si>
  <si>
    <t>0-8</t>
  </si>
  <si>
    <t>9-16</t>
  </si>
  <si>
    <t>17-24</t>
  </si>
  <si>
    <t>25-32</t>
  </si>
  <si>
    <t>33-40</t>
  </si>
  <si>
    <t>41-48</t>
  </si>
  <si>
    <t>0-9</t>
  </si>
  <si>
    <t>10-18</t>
  </si>
  <si>
    <t>19-27</t>
  </si>
  <si>
    <t>28-36</t>
  </si>
  <si>
    <t>37-45</t>
  </si>
  <si>
    <t>46-54</t>
  </si>
  <si>
    <t>COMBINAZIONE NUMERO SCATOLE E PALLET</t>
  </si>
  <si>
    <t>MQ</t>
  </si>
  <si>
    <t>ROUTINE</t>
  </si>
  <si>
    <t>PALLET</t>
  </si>
  <si>
    <t>DIMENSIONE</t>
  </si>
  <si>
    <t>BANCALE</t>
  </si>
  <si>
    <t>MISURE</t>
  </si>
  <si>
    <t>SCATOLE NEUTRE</t>
  </si>
  <si>
    <t>TOT SCATOLE</t>
  </si>
  <si>
    <t>PESO LORDO</t>
  </si>
  <si>
    <t>PESO NETTO</t>
  </si>
  <si>
    <t>METRI CUBI</t>
  </si>
  <si>
    <t>MARSHALL</t>
  </si>
  <si>
    <t>CORNICI PER SCATOLA</t>
  </si>
  <si>
    <t>11 CORNICI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</si>
</sst>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1" fillId="2" borderId="0" xfId="1" applyFill="1" applyAlignment="1">
      <alignment horizontal="center" vertical="center"/>
    </xf>
    <xf numFmtId="0" fontId="1" fillId="2" borderId="0" xfId="1" applyFill="1"/>
    <xf numFmtId="2" fontId="1" fillId="2" borderId="0" xfId="1" applyNumberFormat="1" applyFill="1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2" borderId="4" xfId="1" applyFill="1" applyBorder="1" applyAlignment="1">
      <alignment horizontal="center" vertical="center"/>
    </xf>
    <xf numFmtId="0" fontId="1" fillId="2" borderId="5" xfId="1" applyFill="1" applyBorder="1"/>
    <xf numFmtId="2" fontId="1" fillId="2" borderId="5" xfId="1" applyNumberFormat="1" applyFill="1" applyBorder="1"/>
    <xf numFmtId="0" fontId="1" fillId="2" borderId="6" xfId="1" applyFill="1" applyBorder="1"/>
    <xf numFmtId="0" fontId="1" fillId="2" borderId="5" xfId="1" applyFill="1" applyBorder="1" applyAlignment="1">
      <alignment wrapText="1"/>
    </xf>
    <xf numFmtId="0" fontId="1" fillId="2" borderId="6" xfId="1" applyFill="1" applyBorder="1" applyAlignment="1">
      <alignment wrapText="1"/>
    </xf>
    <xf numFmtId="0" fontId="1" fillId="0" borderId="5" xfId="1" applyFill="1" applyBorder="1"/>
    <xf numFmtId="0" fontId="1" fillId="2" borderId="7" xfId="1" applyFill="1" applyBorder="1" applyAlignment="1">
      <alignment horizontal="center" vertical="center"/>
    </xf>
    <xf numFmtId="0" fontId="1" fillId="0" borderId="8" xfId="1" applyFill="1" applyBorder="1"/>
    <xf numFmtId="0" fontId="1" fillId="0" borderId="0" xfId="1" applyFill="1"/>
    <xf numFmtId="2" fontId="1" fillId="0" borderId="0" xfId="1" applyNumberFormat="1" applyFill="1"/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3" borderId="0" xfId="0" applyFill="1"/>
    <xf numFmtId="0" fontId="0" fillId="3" borderId="11" xfId="0" applyFill="1" applyBorder="1" applyAlignment="1">
      <alignment horizontal="center"/>
    </xf>
    <xf numFmtId="0" fontId="0" fillId="3" borderId="0" xfId="0" applyFill="1" applyBorder="1"/>
    <xf numFmtId="0" fontId="0" fillId="3" borderId="19" xfId="0" applyFill="1" applyBorder="1"/>
    <xf numFmtId="0" fontId="0" fillId="3" borderId="11" xfId="0" applyFill="1" applyBorder="1"/>
    <xf numFmtId="0" fontId="0" fillId="3" borderId="16" xfId="0" applyFill="1" applyBorder="1"/>
    <xf numFmtId="0" fontId="0" fillId="3" borderId="0" xfId="0" applyFill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9" xfId="0" applyFill="1" applyBorder="1" applyAlignment="1">
      <alignment horizontal="center" vertical="top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3" borderId="19" xfId="0" applyFill="1" applyBorder="1" applyAlignment="1">
      <alignment horizontal="center" vertical="top" wrapText="1"/>
    </xf>
    <xf numFmtId="0" fontId="0" fillId="2" borderId="0" xfId="0" applyFill="1"/>
    <xf numFmtId="0" fontId="0" fillId="3" borderId="0" xfId="0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/>
    <xf numFmtId="2" fontId="0" fillId="0" borderId="0" xfId="0" applyNumberFormat="1"/>
    <xf numFmtId="0" fontId="0" fillId="0" borderId="0" xfId="0" applyFill="1"/>
    <xf numFmtId="2" fontId="6" fillId="4" borderId="11" xfId="0" applyNumberFormat="1" applyFont="1" applyFill="1" applyBorder="1"/>
    <xf numFmtId="2" fontId="6" fillId="4" borderId="12" xfId="0" applyNumberFormat="1" applyFont="1" applyFill="1" applyBorder="1"/>
    <xf numFmtId="2" fontId="6" fillId="4" borderId="13" xfId="0" applyNumberFormat="1" applyFont="1" applyFill="1" applyBorder="1"/>
    <xf numFmtId="2" fontId="6" fillId="4" borderId="0" xfId="0" applyNumberFormat="1" applyFont="1" applyFill="1" applyBorder="1"/>
    <xf numFmtId="2" fontId="6" fillId="4" borderId="14" xfId="0" applyNumberFormat="1" applyFont="1" applyFill="1" applyBorder="1"/>
    <xf numFmtId="2" fontId="6" fillId="4" borderId="16" xfId="0" applyNumberFormat="1" applyFont="1" applyFill="1" applyBorder="1"/>
    <xf numFmtId="2" fontId="6" fillId="4" borderId="17" xfId="0" applyNumberFormat="1" applyFont="1" applyFill="1" applyBorder="1"/>
    <xf numFmtId="2" fontId="6" fillId="5" borderId="10" xfId="0" applyNumberFormat="1" applyFont="1" applyFill="1" applyBorder="1"/>
    <xf numFmtId="2" fontId="8" fillId="4" borderId="15" xfId="0" applyNumberFormat="1" applyFont="1" applyFill="1" applyBorder="1"/>
    <xf numFmtId="0" fontId="0" fillId="0" borderId="0" xfId="0" applyAlignment="1"/>
    <xf numFmtId="0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30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1" fontId="0" fillId="4" borderId="4" xfId="0" applyNumberFormat="1" applyFill="1" applyBorder="1"/>
    <xf numFmtId="1" fontId="0" fillId="4" borderId="5" xfId="0" applyNumberFormat="1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0" fontId="0" fillId="6" borderId="30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1" fontId="0" fillId="6" borderId="4" xfId="0" applyNumberFormat="1" applyFill="1" applyBorder="1"/>
    <xf numFmtId="1" fontId="0" fillId="6" borderId="5" xfId="0" applyNumberFormat="1" applyFill="1" applyBorder="1"/>
    <xf numFmtId="1" fontId="0" fillId="6" borderId="7" xfId="0" applyNumberFormat="1" applyFill="1" applyBorder="1"/>
    <xf numFmtId="1" fontId="0" fillId="6" borderId="8" xfId="0" applyNumberFormat="1" applyFill="1" applyBorder="1"/>
    <xf numFmtId="0" fontId="0" fillId="7" borderId="30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1" fontId="0" fillId="7" borderId="4" xfId="0" applyNumberFormat="1" applyFill="1" applyBorder="1"/>
    <xf numFmtId="1" fontId="0" fillId="7" borderId="5" xfId="0" applyNumberFormat="1" applyFill="1" applyBorder="1"/>
    <xf numFmtId="1" fontId="0" fillId="7" borderId="7" xfId="0" applyNumberFormat="1" applyFill="1" applyBorder="1"/>
    <xf numFmtId="1" fontId="0" fillId="7" borderId="8" xfId="0" applyNumberFormat="1" applyFill="1" applyBorder="1"/>
    <xf numFmtId="0" fontId="0" fillId="4" borderId="35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1" fontId="0" fillId="8" borderId="4" xfId="0" applyNumberFormat="1" applyFill="1" applyBorder="1"/>
    <xf numFmtId="1" fontId="0" fillId="8" borderId="7" xfId="0" applyNumberFormat="1" applyFill="1" applyBorder="1"/>
    <xf numFmtId="1" fontId="0" fillId="8" borderId="8" xfId="0" applyNumberFormat="1" applyFill="1" applyBorder="1"/>
    <xf numFmtId="0" fontId="9" fillId="7" borderId="32" xfId="0" applyFont="1" applyFill="1" applyBorder="1" applyAlignment="1">
      <alignment horizontal="center"/>
    </xf>
    <xf numFmtId="0" fontId="9" fillId="7" borderId="33" xfId="0" applyFont="1" applyFill="1" applyBorder="1" applyAlignment="1">
      <alignment horizontal="center"/>
    </xf>
    <xf numFmtId="0" fontId="9" fillId="7" borderId="34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2" fontId="6" fillId="4" borderId="23" xfId="0" applyNumberFormat="1" applyFont="1" applyFill="1" applyBorder="1" applyAlignment="1">
      <alignment horizontal="center" vertical="center"/>
    </xf>
    <xf numFmtId="2" fontId="6" fillId="4" borderId="24" xfId="0" applyNumberFormat="1" applyFont="1" applyFill="1" applyBorder="1" applyAlignment="1">
      <alignment horizontal="center" vertical="center"/>
    </xf>
    <xf numFmtId="2" fontId="6" fillId="4" borderId="28" xfId="0" applyNumberFormat="1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2" fontId="6" fillId="6" borderId="23" xfId="0" applyNumberFormat="1" applyFont="1" applyFill="1" applyBorder="1" applyAlignment="1">
      <alignment horizontal="center" vertical="center"/>
    </xf>
    <xf numFmtId="2" fontId="6" fillId="6" borderId="24" xfId="0" applyNumberFormat="1" applyFont="1" applyFill="1" applyBorder="1" applyAlignment="1">
      <alignment horizontal="center" vertical="center"/>
    </xf>
    <xf numFmtId="2" fontId="6" fillId="6" borderId="28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9" fillId="6" borderId="34" xfId="0" applyFont="1" applyFill="1" applyBorder="1" applyAlignment="1">
      <alignment horizontal="center"/>
    </xf>
    <xf numFmtId="2" fontId="6" fillId="7" borderId="23" xfId="0" applyNumberFormat="1" applyFont="1" applyFill="1" applyBorder="1" applyAlignment="1">
      <alignment horizontal="center" vertical="center"/>
    </xf>
    <xf numFmtId="2" fontId="6" fillId="7" borderId="24" xfId="0" applyNumberFormat="1" applyFont="1" applyFill="1" applyBorder="1" applyAlignment="1">
      <alignment horizontal="center" vertical="center"/>
    </xf>
    <xf numFmtId="2" fontId="6" fillId="7" borderId="28" xfId="0" applyNumberFormat="1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/>
    </xf>
    <xf numFmtId="2" fontId="6" fillId="8" borderId="28" xfId="0" applyNumberFormat="1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40585</xdr:rowOff>
    </xdr:from>
    <xdr:to>
      <xdr:col>2</xdr:col>
      <xdr:colOff>498779</xdr:colOff>
      <xdr:row>8</xdr:row>
      <xdr:rowOff>2987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24" t="13827" r="32520" b="71413"/>
        <a:stretch/>
      </xdr:blipFill>
      <xdr:spPr>
        <a:xfrm>
          <a:off x="0" y="589225"/>
          <a:ext cx="3775379" cy="876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</xdr:colOff>
      <xdr:row>14</xdr:row>
      <xdr:rowOff>57150</xdr:rowOff>
    </xdr:from>
    <xdr:to>
      <xdr:col>14</xdr:col>
      <xdr:colOff>333375</xdr:colOff>
      <xdr:row>19</xdr:row>
      <xdr:rowOff>14287</xdr:rowOff>
    </xdr:to>
    <xdr:sp macro="" textlink="">
      <xdr:nvSpPr>
        <xdr:cNvPr id="2" name="Parentesi graffa chiusa 1">
          <a:extLst>
            <a:ext uri="{FF2B5EF4-FFF2-40B4-BE49-F238E27FC236}">
              <a16:creationId xmlns:a16="http://schemas.microsoft.com/office/drawing/2014/main" xmlns="" id="{74ED533E-0FA5-42FB-B553-5A675A6D2C67}"/>
            </a:ext>
          </a:extLst>
        </xdr:cNvPr>
        <xdr:cNvSpPr/>
      </xdr:nvSpPr>
      <xdr:spPr>
        <a:xfrm>
          <a:off x="10296525" y="2590800"/>
          <a:ext cx="261938" cy="86201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319088</xdr:colOff>
      <xdr:row>21</xdr:row>
      <xdr:rowOff>28575</xdr:rowOff>
    </xdr:from>
    <xdr:to>
      <xdr:col>8</xdr:col>
      <xdr:colOff>119063</xdr:colOff>
      <xdr:row>22</xdr:row>
      <xdr:rowOff>85725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914F531E-D08C-4C88-81A2-D3B8BAC7D179}"/>
            </a:ext>
          </a:extLst>
        </xdr:cNvPr>
        <xdr:cNvCxnSpPr/>
      </xdr:nvCxnSpPr>
      <xdr:spPr>
        <a:xfrm>
          <a:off x="6615113" y="3829050"/>
          <a:ext cx="447675" cy="2428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319088</xdr:colOff>
      <xdr:row>29</xdr:row>
      <xdr:rowOff>28575</xdr:rowOff>
    </xdr:from>
    <xdr:to>
      <xdr:col>8</xdr:col>
      <xdr:colOff>119063</xdr:colOff>
      <xdr:row>30</xdr:row>
      <xdr:rowOff>85725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xmlns="" id="{4D3BB298-5004-4CB9-97D2-8B8CF8319FCB}"/>
            </a:ext>
          </a:extLst>
        </xdr:cNvPr>
        <xdr:cNvCxnSpPr/>
      </xdr:nvCxnSpPr>
      <xdr:spPr>
        <a:xfrm>
          <a:off x="6615113" y="3829050"/>
          <a:ext cx="447675" cy="2428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319088</xdr:colOff>
      <xdr:row>37</xdr:row>
      <xdr:rowOff>28575</xdr:rowOff>
    </xdr:from>
    <xdr:to>
      <xdr:col>8</xdr:col>
      <xdr:colOff>119063</xdr:colOff>
      <xdr:row>38</xdr:row>
      <xdr:rowOff>85725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xmlns="" id="{561F8C36-134A-459D-A268-17D8924A8712}"/>
            </a:ext>
          </a:extLst>
        </xdr:cNvPr>
        <xdr:cNvCxnSpPr/>
      </xdr:nvCxnSpPr>
      <xdr:spPr>
        <a:xfrm>
          <a:off x="6615113" y="5372100"/>
          <a:ext cx="447675" cy="2428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319088</xdr:colOff>
      <xdr:row>46</xdr:row>
      <xdr:rowOff>28575</xdr:rowOff>
    </xdr:from>
    <xdr:to>
      <xdr:col>8</xdr:col>
      <xdr:colOff>119063</xdr:colOff>
      <xdr:row>47</xdr:row>
      <xdr:rowOff>85725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xmlns="" id="{0B863F69-8A1B-4F73-8694-FB26B88AAB24}"/>
            </a:ext>
          </a:extLst>
        </xdr:cNvPr>
        <xdr:cNvCxnSpPr/>
      </xdr:nvCxnSpPr>
      <xdr:spPr>
        <a:xfrm>
          <a:off x="6615113" y="6915150"/>
          <a:ext cx="447675" cy="2428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4</xdr:row>
      <xdr:rowOff>60958</xdr:rowOff>
    </xdr:from>
    <xdr:to>
      <xdr:col>5</xdr:col>
      <xdr:colOff>160020</xdr:colOff>
      <xdr:row>14</xdr:row>
      <xdr:rowOff>91437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584960" y="778134"/>
          <a:ext cx="1623060" cy="182342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446048</xdr:colOff>
      <xdr:row>4</xdr:row>
      <xdr:rowOff>126379</xdr:rowOff>
    </xdr:from>
    <xdr:to>
      <xdr:col>3</xdr:col>
      <xdr:colOff>482399</xdr:colOff>
      <xdr:row>14</xdr:row>
      <xdr:rowOff>29734</xdr:rowOff>
    </xdr:to>
    <xdr:grpSp>
      <xdr:nvGrpSpPr>
        <xdr:cNvPr id="46" name="Gruppo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pSpPr/>
      </xdr:nvGrpSpPr>
      <xdr:grpSpPr>
        <a:xfrm>
          <a:off x="1656283" y="1437467"/>
          <a:ext cx="641469" cy="1808355"/>
          <a:chOff x="1614664" y="496912"/>
          <a:chExt cx="711404" cy="1718464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/>
        </xdr:nvSpPr>
        <xdr:spPr>
          <a:xfrm>
            <a:off x="1615439" y="496912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/>
        </xdr:nvSpPr>
        <xdr:spPr>
          <a:xfrm>
            <a:off x="1615439" y="571852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/>
        </xdr:nvSpPr>
        <xdr:spPr>
          <a:xfrm>
            <a:off x="1617247" y="651280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/>
        </xdr:nvSpPr>
        <xdr:spPr>
          <a:xfrm>
            <a:off x="1622414" y="729289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>
            <a:off x="1622413" y="806037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/>
        </xdr:nvSpPr>
        <xdr:spPr>
          <a:xfrm>
            <a:off x="1617247" y="888695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1624996" y="973192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SpPr/>
        </xdr:nvSpPr>
        <xdr:spPr>
          <a:xfrm>
            <a:off x="1619830" y="1228171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/>
        </xdr:nvSpPr>
        <xdr:spPr>
          <a:xfrm>
            <a:off x="1614664" y="1140862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/>
        </xdr:nvSpPr>
        <xdr:spPr>
          <a:xfrm>
            <a:off x="1622413" y="1054817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/>
        </xdr:nvSpPr>
        <xdr:spPr>
          <a:xfrm>
            <a:off x="1622413" y="1316284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xmlns="" id="{00000000-0008-0000-0100-00000E000000}"/>
              </a:ext>
            </a:extLst>
          </xdr:cNvPr>
          <xdr:cNvSpPr/>
        </xdr:nvSpPr>
        <xdr:spPr>
          <a:xfrm>
            <a:off x="1624996" y="1404108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xmlns="" id="{00000000-0008-0000-0100-00000F000000}"/>
              </a:ext>
            </a:extLst>
          </xdr:cNvPr>
          <xdr:cNvSpPr/>
        </xdr:nvSpPr>
        <xdr:spPr>
          <a:xfrm>
            <a:off x="1630678" y="1485501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xmlns="" id="{00000000-0008-0000-0100-000010000000}"/>
              </a:ext>
            </a:extLst>
          </xdr:cNvPr>
          <xdr:cNvSpPr/>
        </xdr:nvSpPr>
        <xdr:spPr>
          <a:xfrm>
            <a:off x="1630678" y="1569451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SpPr/>
        </xdr:nvSpPr>
        <xdr:spPr>
          <a:xfrm>
            <a:off x="1632486" y="1647619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xmlns="" id="{00000000-0008-0000-0100-000012000000}"/>
              </a:ext>
            </a:extLst>
          </xdr:cNvPr>
          <xdr:cNvSpPr/>
        </xdr:nvSpPr>
        <xdr:spPr>
          <a:xfrm>
            <a:off x="1637653" y="1725627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" name="Rettangolo 18">
            <a:extLst>
              <a:ext uri="{FF2B5EF4-FFF2-40B4-BE49-F238E27FC236}">
                <a16:creationId xmlns:a16="http://schemas.microsoft.com/office/drawing/2014/main" xmlns="" id="{00000000-0008-0000-0100-000013000000}"/>
              </a:ext>
            </a:extLst>
          </xdr:cNvPr>
          <xdr:cNvSpPr/>
        </xdr:nvSpPr>
        <xdr:spPr>
          <a:xfrm>
            <a:off x="1637652" y="1803637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" name="Rettangolo 19">
            <a:extLst>
              <a:ext uri="{FF2B5EF4-FFF2-40B4-BE49-F238E27FC236}">
                <a16:creationId xmlns:a16="http://schemas.microsoft.com/office/drawing/2014/main" xmlns="" id="{00000000-0008-0000-0100-000014000000}"/>
              </a:ext>
            </a:extLst>
          </xdr:cNvPr>
          <xdr:cNvSpPr/>
        </xdr:nvSpPr>
        <xdr:spPr>
          <a:xfrm>
            <a:off x="1632486" y="1885034"/>
            <a:ext cx="685833" cy="7920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" name="Rettangolo 20">
            <a:extLst>
              <a:ext uri="{FF2B5EF4-FFF2-40B4-BE49-F238E27FC236}">
                <a16:creationId xmlns:a16="http://schemas.microsoft.com/office/drawing/2014/main" xmlns="" id="{00000000-0008-0000-0100-000015000000}"/>
              </a:ext>
            </a:extLst>
          </xdr:cNvPr>
          <xdr:cNvSpPr/>
        </xdr:nvSpPr>
        <xdr:spPr>
          <a:xfrm>
            <a:off x="1640235" y="1970791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" name="Rettangolo 21">
            <a:extLst>
              <a:ext uri="{FF2B5EF4-FFF2-40B4-BE49-F238E27FC236}">
                <a16:creationId xmlns:a16="http://schemas.microsoft.com/office/drawing/2014/main" xmlns="" id="{00000000-0008-0000-0100-000016000000}"/>
              </a:ext>
            </a:extLst>
          </xdr:cNvPr>
          <xdr:cNvSpPr/>
        </xdr:nvSpPr>
        <xdr:spPr>
          <a:xfrm>
            <a:off x="1629903" y="2138461"/>
            <a:ext cx="685833" cy="7691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" name="Rettangolo 22">
            <a:extLst>
              <a:ext uri="{FF2B5EF4-FFF2-40B4-BE49-F238E27FC236}">
                <a16:creationId xmlns:a16="http://schemas.microsoft.com/office/drawing/2014/main" xmlns="" id="{00000000-0008-0000-0100-000017000000}"/>
              </a:ext>
            </a:extLst>
          </xdr:cNvPr>
          <xdr:cNvSpPr/>
        </xdr:nvSpPr>
        <xdr:spPr>
          <a:xfrm>
            <a:off x="1637652" y="2051154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31191</xdr:colOff>
      <xdr:row>4</xdr:row>
      <xdr:rowOff>104076</xdr:rowOff>
    </xdr:from>
    <xdr:to>
      <xdr:col>5</xdr:col>
      <xdr:colOff>63190</xdr:colOff>
      <xdr:row>14</xdr:row>
      <xdr:rowOff>33451</xdr:rowOff>
    </xdr:to>
    <xdr:grpSp>
      <xdr:nvGrpSpPr>
        <xdr:cNvPr id="47" name="Gruppo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pSpPr/>
      </xdr:nvGrpSpPr>
      <xdr:grpSpPr>
        <a:xfrm>
          <a:off x="2451662" y="1415164"/>
          <a:ext cx="637116" cy="1834375"/>
          <a:chOff x="1614664" y="496912"/>
          <a:chExt cx="711404" cy="1718464"/>
        </a:xfrm>
      </xdr:grpSpPr>
      <xdr:sp macro="" textlink="">
        <xdr:nvSpPr>
          <xdr:cNvPr id="48" name="Rettangolo 47">
            <a:extLst>
              <a:ext uri="{FF2B5EF4-FFF2-40B4-BE49-F238E27FC236}">
                <a16:creationId xmlns:a16="http://schemas.microsoft.com/office/drawing/2014/main" xmlns="" id="{00000000-0008-0000-0100-000030000000}"/>
              </a:ext>
            </a:extLst>
          </xdr:cNvPr>
          <xdr:cNvSpPr/>
        </xdr:nvSpPr>
        <xdr:spPr>
          <a:xfrm>
            <a:off x="1615439" y="496912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xmlns="" id="{00000000-0008-0000-0100-000031000000}"/>
              </a:ext>
            </a:extLst>
          </xdr:cNvPr>
          <xdr:cNvSpPr/>
        </xdr:nvSpPr>
        <xdr:spPr>
          <a:xfrm>
            <a:off x="1615439" y="571852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xmlns="" id="{00000000-0008-0000-0100-000032000000}"/>
              </a:ext>
            </a:extLst>
          </xdr:cNvPr>
          <xdr:cNvSpPr/>
        </xdr:nvSpPr>
        <xdr:spPr>
          <a:xfrm>
            <a:off x="1617247" y="651280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xmlns="" id="{00000000-0008-0000-0100-000033000000}"/>
              </a:ext>
            </a:extLst>
          </xdr:cNvPr>
          <xdr:cNvSpPr/>
        </xdr:nvSpPr>
        <xdr:spPr>
          <a:xfrm>
            <a:off x="1622414" y="729289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2" name="Rettangolo 51">
            <a:extLst>
              <a:ext uri="{FF2B5EF4-FFF2-40B4-BE49-F238E27FC236}">
                <a16:creationId xmlns:a16="http://schemas.microsoft.com/office/drawing/2014/main" xmlns="" id="{00000000-0008-0000-0100-000034000000}"/>
              </a:ext>
            </a:extLst>
          </xdr:cNvPr>
          <xdr:cNvSpPr/>
        </xdr:nvSpPr>
        <xdr:spPr>
          <a:xfrm>
            <a:off x="1622413" y="806037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3" name="Rettangolo 52">
            <a:extLst>
              <a:ext uri="{FF2B5EF4-FFF2-40B4-BE49-F238E27FC236}">
                <a16:creationId xmlns:a16="http://schemas.microsoft.com/office/drawing/2014/main" xmlns="" id="{00000000-0008-0000-0100-000035000000}"/>
              </a:ext>
            </a:extLst>
          </xdr:cNvPr>
          <xdr:cNvSpPr/>
        </xdr:nvSpPr>
        <xdr:spPr>
          <a:xfrm>
            <a:off x="1617247" y="888695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4" name="Rettangolo 53">
            <a:extLst>
              <a:ext uri="{FF2B5EF4-FFF2-40B4-BE49-F238E27FC236}">
                <a16:creationId xmlns:a16="http://schemas.microsoft.com/office/drawing/2014/main" xmlns="" id="{00000000-0008-0000-0100-000036000000}"/>
              </a:ext>
            </a:extLst>
          </xdr:cNvPr>
          <xdr:cNvSpPr/>
        </xdr:nvSpPr>
        <xdr:spPr>
          <a:xfrm>
            <a:off x="1624996" y="973192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xmlns="" id="{00000000-0008-0000-0100-000037000000}"/>
              </a:ext>
            </a:extLst>
          </xdr:cNvPr>
          <xdr:cNvSpPr/>
        </xdr:nvSpPr>
        <xdr:spPr>
          <a:xfrm>
            <a:off x="1619830" y="1228171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xmlns="" id="{00000000-0008-0000-0100-000038000000}"/>
              </a:ext>
            </a:extLst>
          </xdr:cNvPr>
          <xdr:cNvSpPr/>
        </xdr:nvSpPr>
        <xdr:spPr>
          <a:xfrm>
            <a:off x="1614664" y="1140862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xmlns="" id="{00000000-0008-0000-0100-000039000000}"/>
              </a:ext>
            </a:extLst>
          </xdr:cNvPr>
          <xdr:cNvSpPr/>
        </xdr:nvSpPr>
        <xdr:spPr>
          <a:xfrm>
            <a:off x="1622413" y="1054817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8" name="Rettangolo 57">
            <a:extLst>
              <a:ext uri="{FF2B5EF4-FFF2-40B4-BE49-F238E27FC236}">
                <a16:creationId xmlns:a16="http://schemas.microsoft.com/office/drawing/2014/main" xmlns="" id="{00000000-0008-0000-0100-00003A000000}"/>
              </a:ext>
            </a:extLst>
          </xdr:cNvPr>
          <xdr:cNvSpPr/>
        </xdr:nvSpPr>
        <xdr:spPr>
          <a:xfrm>
            <a:off x="1622413" y="1316284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9" name="Rettangolo 58">
            <a:extLst>
              <a:ext uri="{FF2B5EF4-FFF2-40B4-BE49-F238E27FC236}">
                <a16:creationId xmlns:a16="http://schemas.microsoft.com/office/drawing/2014/main" xmlns="" id="{00000000-0008-0000-0100-00003B000000}"/>
              </a:ext>
            </a:extLst>
          </xdr:cNvPr>
          <xdr:cNvSpPr/>
        </xdr:nvSpPr>
        <xdr:spPr>
          <a:xfrm>
            <a:off x="1624996" y="1404108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0" name="Rettangolo 59">
            <a:extLst>
              <a:ext uri="{FF2B5EF4-FFF2-40B4-BE49-F238E27FC236}">
                <a16:creationId xmlns:a16="http://schemas.microsoft.com/office/drawing/2014/main" xmlns="" id="{00000000-0008-0000-0100-00003C000000}"/>
              </a:ext>
            </a:extLst>
          </xdr:cNvPr>
          <xdr:cNvSpPr/>
        </xdr:nvSpPr>
        <xdr:spPr>
          <a:xfrm>
            <a:off x="1630678" y="1485501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1" name="Rettangolo 60">
            <a:extLst>
              <a:ext uri="{FF2B5EF4-FFF2-40B4-BE49-F238E27FC236}">
                <a16:creationId xmlns:a16="http://schemas.microsoft.com/office/drawing/2014/main" xmlns="" id="{00000000-0008-0000-0100-00003D000000}"/>
              </a:ext>
            </a:extLst>
          </xdr:cNvPr>
          <xdr:cNvSpPr/>
        </xdr:nvSpPr>
        <xdr:spPr>
          <a:xfrm>
            <a:off x="1630678" y="1569451"/>
            <a:ext cx="685833" cy="7920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2" name="Rettangolo 61">
            <a:extLst>
              <a:ext uri="{FF2B5EF4-FFF2-40B4-BE49-F238E27FC236}">
                <a16:creationId xmlns:a16="http://schemas.microsoft.com/office/drawing/2014/main" xmlns="" id="{00000000-0008-0000-0100-00003E000000}"/>
              </a:ext>
            </a:extLst>
          </xdr:cNvPr>
          <xdr:cNvSpPr/>
        </xdr:nvSpPr>
        <xdr:spPr>
          <a:xfrm>
            <a:off x="1632486" y="1647619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3" name="Rettangolo 62">
            <a:extLst>
              <a:ext uri="{FF2B5EF4-FFF2-40B4-BE49-F238E27FC236}">
                <a16:creationId xmlns:a16="http://schemas.microsoft.com/office/drawing/2014/main" xmlns="" id="{00000000-0008-0000-0100-00003F000000}"/>
              </a:ext>
            </a:extLst>
          </xdr:cNvPr>
          <xdr:cNvSpPr/>
        </xdr:nvSpPr>
        <xdr:spPr>
          <a:xfrm>
            <a:off x="1637653" y="1725627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4" name="Rettangolo 63">
            <a:extLst>
              <a:ext uri="{FF2B5EF4-FFF2-40B4-BE49-F238E27FC236}">
                <a16:creationId xmlns:a16="http://schemas.microsoft.com/office/drawing/2014/main" xmlns="" id="{00000000-0008-0000-0100-000040000000}"/>
              </a:ext>
            </a:extLst>
          </xdr:cNvPr>
          <xdr:cNvSpPr/>
        </xdr:nvSpPr>
        <xdr:spPr>
          <a:xfrm>
            <a:off x="1637652" y="1803637"/>
            <a:ext cx="685833" cy="76914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5" name="Rettangolo 64">
            <a:extLst>
              <a:ext uri="{FF2B5EF4-FFF2-40B4-BE49-F238E27FC236}">
                <a16:creationId xmlns:a16="http://schemas.microsoft.com/office/drawing/2014/main" xmlns="" id="{00000000-0008-0000-0100-000041000000}"/>
              </a:ext>
            </a:extLst>
          </xdr:cNvPr>
          <xdr:cNvSpPr/>
        </xdr:nvSpPr>
        <xdr:spPr>
          <a:xfrm>
            <a:off x="1632486" y="1885034"/>
            <a:ext cx="685833" cy="7920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6" name="Rettangolo 65">
            <a:extLst>
              <a:ext uri="{FF2B5EF4-FFF2-40B4-BE49-F238E27FC236}">
                <a16:creationId xmlns:a16="http://schemas.microsoft.com/office/drawing/2014/main" xmlns="" id="{00000000-0008-0000-0100-000042000000}"/>
              </a:ext>
            </a:extLst>
          </xdr:cNvPr>
          <xdr:cNvSpPr/>
        </xdr:nvSpPr>
        <xdr:spPr>
          <a:xfrm>
            <a:off x="1640235" y="1970791"/>
            <a:ext cx="685833" cy="7757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7" name="Rettangolo 66">
            <a:extLst>
              <a:ext uri="{FF2B5EF4-FFF2-40B4-BE49-F238E27FC236}">
                <a16:creationId xmlns:a16="http://schemas.microsoft.com/office/drawing/2014/main" xmlns="" id="{00000000-0008-0000-0100-000043000000}"/>
              </a:ext>
            </a:extLst>
          </xdr:cNvPr>
          <xdr:cNvSpPr/>
        </xdr:nvSpPr>
        <xdr:spPr>
          <a:xfrm>
            <a:off x="1629903" y="2138461"/>
            <a:ext cx="685833" cy="7691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8" name="Rettangolo 67">
            <a:extLst>
              <a:ext uri="{FF2B5EF4-FFF2-40B4-BE49-F238E27FC236}">
                <a16:creationId xmlns:a16="http://schemas.microsoft.com/office/drawing/2014/main" xmlns="" id="{00000000-0008-0000-0100-000044000000}"/>
              </a:ext>
            </a:extLst>
          </xdr:cNvPr>
          <xdr:cNvSpPr/>
        </xdr:nvSpPr>
        <xdr:spPr>
          <a:xfrm>
            <a:off x="1637652" y="2051154"/>
            <a:ext cx="685833" cy="7853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501805</xdr:colOff>
      <xdr:row>4</xdr:row>
      <xdr:rowOff>144964</xdr:rowOff>
    </xdr:from>
    <xdr:to>
      <xdr:col>4</xdr:col>
      <xdr:colOff>22304</xdr:colOff>
      <xdr:row>14</xdr:row>
      <xdr:rowOff>33450</xdr:rowOff>
    </xdr:to>
    <xdr:grpSp>
      <xdr:nvGrpSpPr>
        <xdr:cNvPr id="104" name="Gruppo 10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GrpSpPr/>
      </xdr:nvGrpSpPr>
      <xdr:grpSpPr>
        <a:xfrm>
          <a:off x="2317158" y="1456052"/>
          <a:ext cx="125617" cy="1793486"/>
          <a:chOff x="2330605" y="503554"/>
          <a:chExt cx="130099" cy="1681428"/>
        </a:xfrm>
        <a:solidFill>
          <a:srgbClr val="92D050"/>
        </a:solidFill>
      </xdr:grpSpPr>
      <xdr:sp macro="" textlink="">
        <xdr:nvSpPr>
          <xdr:cNvPr id="91" name="Rettangolo 90">
            <a:extLst>
              <a:ext uri="{FF2B5EF4-FFF2-40B4-BE49-F238E27FC236}">
                <a16:creationId xmlns:a16="http://schemas.microsoft.com/office/drawing/2014/main" xmlns="" id="{00000000-0008-0000-0100-00005B000000}"/>
              </a:ext>
            </a:extLst>
          </xdr:cNvPr>
          <xdr:cNvSpPr/>
        </xdr:nvSpPr>
        <xdr:spPr>
          <a:xfrm>
            <a:off x="2330605" y="503554"/>
            <a:ext cx="52039" cy="810978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2" name="Rettangolo 91">
            <a:extLst>
              <a:ext uri="{FF2B5EF4-FFF2-40B4-BE49-F238E27FC236}">
                <a16:creationId xmlns:a16="http://schemas.microsoft.com/office/drawing/2014/main" xmlns="" id="{00000000-0008-0000-0100-00005C000000}"/>
              </a:ext>
            </a:extLst>
          </xdr:cNvPr>
          <xdr:cNvSpPr/>
        </xdr:nvSpPr>
        <xdr:spPr>
          <a:xfrm>
            <a:off x="2397513" y="507271"/>
            <a:ext cx="52039" cy="810978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3" name="Rettangolo 92">
            <a:extLst>
              <a:ext uri="{FF2B5EF4-FFF2-40B4-BE49-F238E27FC236}">
                <a16:creationId xmlns:a16="http://schemas.microsoft.com/office/drawing/2014/main" xmlns="" id="{00000000-0008-0000-0100-00005D000000}"/>
              </a:ext>
            </a:extLst>
          </xdr:cNvPr>
          <xdr:cNvSpPr/>
        </xdr:nvSpPr>
        <xdr:spPr>
          <a:xfrm>
            <a:off x="2341757" y="1370288"/>
            <a:ext cx="52039" cy="810977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4" name="Rettangolo 93">
            <a:extLst>
              <a:ext uri="{FF2B5EF4-FFF2-40B4-BE49-F238E27FC236}">
                <a16:creationId xmlns:a16="http://schemas.microsoft.com/office/drawing/2014/main" xmlns="" id="{00000000-0008-0000-0100-00005E000000}"/>
              </a:ext>
            </a:extLst>
          </xdr:cNvPr>
          <xdr:cNvSpPr/>
        </xdr:nvSpPr>
        <xdr:spPr>
          <a:xfrm>
            <a:off x="2408665" y="1374005"/>
            <a:ext cx="52039" cy="810977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170333</xdr:colOff>
      <xdr:row>4</xdr:row>
      <xdr:rowOff>23614</xdr:rowOff>
    </xdr:from>
    <xdr:to>
      <xdr:col>11</xdr:col>
      <xdr:colOff>574193</xdr:colOff>
      <xdr:row>14</xdr:row>
      <xdr:rowOff>54093</xdr:rowOff>
    </xdr:to>
    <xdr:sp macro="" textlink="">
      <xdr:nvSpPr>
        <xdr:cNvPr id="95" name="Rettangolo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/>
      </xdr:nvSpPr>
      <xdr:spPr>
        <a:xfrm>
          <a:off x="5656733" y="740790"/>
          <a:ext cx="1623060" cy="182342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331700</xdr:colOff>
      <xdr:row>4</xdr:row>
      <xdr:rowOff>97954</xdr:rowOff>
    </xdr:from>
    <xdr:to>
      <xdr:col>10</xdr:col>
      <xdr:colOff>461799</xdr:colOff>
      <xdr:row>13</xdr:row>
      <xdr:rowOff>165734</xdr:rowOff>
    </xdr:to>
    <xdr:grpSp>
      <xdr:nvGrpSpPr>
        <xdr:cNvPr id="105" name="Gruppo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GrpSpPr/>
      </xdr:nvGrpSpPr>
      <xdr:grpSpPr>
        <a:xfrm>
          <a:off x="5878612" y="1409042"/>
          <a:ext cx="130099" cy="1782280"/>
          <a:chOff x="4419602" y="492400"/>
          <a:chExt cx="130099" cy="1681428"/>
        </a:xfrm>
        <a:solidFill>
          <a:srgbClr val="92D050"/>
        </a:solidFill>
      </xdr:grpSpPr>
      <xdr:sp macro="" textlink="">
        <xdr:nvSpPr>
          <xdr:cNvPr id="96" name="Rettangolo 95">
            <a:extLst>
              <a:ext uri="{FF2B5EF4-FFF2-40B4-BE49-F238E27FC236}">
                <a16:creationId xmlns:a16="http://schemas.microsoft.com/office/drawing/2014/main" xmlns="" id="{00000000-0008-0000-0100-000060000000}"/>
              </a:ext>
            </a:extLst>
          </xdr:cNvPr>
          <xdr:cNvSpPr/>
        </xdr:nvSpPr>
        <xdr:spPr>
          <a:xfrm>
            <a:off x="4419602" y="492400"/>
            <a:ext cx="52039" cy="810978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7" name="Rettangolo 96">
            <a:extLst>
              <a:ext uri="{FF2B5EF4-FFF2-40B4-BE49-F238E27FC236}">
                <a16:creationId xmlns:a16="http://schemas.microsoft.com/office/drawing/2014/main" xmlns="" id="{00000000-0008-0000-0100-000061000000}"/>
              </a:ext>
            </a:extLst>
          </xdr:cNvPr>
          <xdr:cNvSpPr/>
        </xdr:nvSpPr>
        <xdr:spPr>
          <a:xfrm>
            <a:off x="4486510" y="496117"/>
            <a:ext cx="52039" cy="810978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8" name="Rettangolo 97">
            <a:extLst>
              <a:ext uri="{FF2B5EF4-FFF2-40B4-BE49-F238E27FC236}">
                <a16:creationId xmlns:a16="http://schemas.microsoft.com/office/drawing/2014/main" xmlns="" id="{00000000-0008-0000-0100-000062000000}"/>
              </a:ext>
            </a:extLst>
          </xdr:cNvPr>
          <xdr:cNvSpPr/>
        </xdr:nvSpPr>
        <xdr:spPr>
          <a:xfrm>
            <a:off x="4430754" y="1359134"/>
            <a:ext cx="52039" cy="810977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9" name="Rettangolo 98">
            <a:extLst>
              <a:ext uri="{FF2B5EF4-FFF2-40B4-BE49-F238E27FC236}">
                <a16:creationId xmlns:a16="http://schemas.microsoft.com/office/drawing/2014/main" xmlns="" id="{00000000-0008-0000-0100-000063000000}"/>
              </a:ext>
            </a:extLst>
          </xdr:cNvPr>
          <xdr:cNvSpPr/>
        </xdr:nvSpPr>
        <xdr:spPr>
          <a:xfrm>
            <a:off x="4497662" y="1362851"/>
            <a:ext cx="52039" cy="810977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238771</xdr:colOff>
      <xdr:row>4</xdr:row>
      <xdr:rowOff>135128</xdr:rowOff>
    </xdr:from>
    <xdr:to>
      <xdr:col>10</xdr:col>
      <xdr:colOff>246205</xdr:colOff>
      <xdr:row>9</xdr:row>
      <xdr:rowOff>12464</xdr:rowOff>
    </xdr:to>
    <xdr:sp macro="" textlink="">
      <xdr:nvSpPr>
        <xdr:cNvPr id="100" name="Rettangolo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/>
      </xdr:nvSpPr>
      <xdr:spPr>
        <a:xfrm>
          <a:off x="5725171" y="852304"/>
          <a:ext cx="617034" cy="7738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242488</xdr:colOff>
      <xdr:row>9</xdr:row>
      <xdr:rowOff>105391</xdr:rowOff>
    </xdr:from>
    <xdr:to>
      <xdr:col>10</xdr:col>
      <xdr:colOff>249922</xdr:colOff>
      <xdr:row>13</xdr:row>
      <xdr:rowOff>162020</xdr:rowOff>
    </xdr:to>
    <xdr:sp macro="" textlink="">
      <xdr:nvSpPr>
        <xdr:cNvPr id="101" name="Rettangolo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/>
      </xdr:nvSpPr>
      <xdr:spPr>
        <a:xfrm>
          <a:off x="5728888" y="1719038"/>
          <a:ext cx="617034" cy="77380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517551</xdr:colOff>
      <xdr:row>4</xdr:row>
      <xdr:rowOff>142562</xdr:rowOff>
    </xdr:from>
    <xdr:to>
      <xdr:col>11</xdr:col>
      <xdr:colOff>524985</xdr:colOff>
      <xdr:row>9</xdr:row>
      <xdr:rowOff>19898</xdr:rowOff>
    </xdr:to>
    <xdr:sp macro="" textlink="">
      <xdr:nvSpPr>
        <xdr:cNvPr id="102" name="Rettangolo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/>
      </xdr:nvSpPr>
      <xdr:spPr>
        <a:xfrm>
          <a:off x="6613551" y="859738"/>
          <a:ext cx="617034" cy="7738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521268</xdr:colOff>
      <xdr:row>9</xdr:row>
      <xdr:rowOff>97957</xdr:rowOff>
    </xdr:from>
    <xdr:to>
      <xdr:col>11</xdr:col>
      <xdr:colOff>528702</xdr:colOff>
      <xdr:row>13</xdr:row>
      <xdr:rowOff>154586</xdr:rowOff>
    </xdr:to>
    <xdr:sp macro="" textlink="">
      <xdr:nvSpPr>
        <xdr:cNvPr id="103" name="Rettangolo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/>
      </xdr:nvSpPr>
      <xdr:spPr>
        <a:xfrm>
          <a:off x="6617268" y="1711604"/>
          <a:ext cx="617034" cy="77380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502024</xdr:colOff>
      <xdr:row>5</xdr:row>
      <xdr:rowOff>17929</xdr:rowOff>
    </xdr:from>
    <xdr:to>
      <xdr:col>2</xdr:col>
      <xdr:colOff>340659</xdr:colOff>
      <xdr:row>6</xdr:row>
      <xdr:rowOff>8964</xdr:rowOff>
    </xdr:to>
    <xdr:sp macro="" textlink="">
      <xdr:nvSpPr>
        <xdr:cNvPr id="109" name="Freccia a destra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/>
      </xdr:nvSpPr>
      <xdr:spPr>
        <a:xfrm>
          <a:off x="1111624" y="914400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233085</xdr:colOff>
      <xdr:row>5</xdr:row>
      <xdr:rowOff>26894</xdr:rowOff>
    </xdr:from>
    <xdr:to>
      <xdr:col>9</xdr:col>
      <xdr:colOff>71720</xdr:colOff>
      <xdr:row>6</xdr:row>
      <xdr:rowOff>17929</xdr:rowOff>
    </xdr:to>
    <xdr:sp macro="" textlink="">
      <xdr:nvSpPr>
        <xdr:cNvPr id="110" name="Freccia a destra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/>
      </xdr:nvSpPr>
      <xdr:spPr>
        <a:xfrm>
          <a:off x="5109885" y="923365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479611</xdr:colOff>
      <xdr:row>14</xdr:row>
      <xdr:rowOff>165846</xdr:rowOff>
    </xdr:from>
    <xdr:to>
      <xdr:col>4</xdr:col>
      <xdr:colOff>40340</xdr:colOff>
      <xdr:row>17</xdr:row>
      <xdr:rowOff>76199</xdr:rowOff>
    </xdr:to>
    <xdr:sp macro="" textlink="">
      <xdr:nvSpPr>
        <xdr:cNvPr id="111" name="Freccia a destra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/>
      </xdr:nvSpPr>
      <xdr:spPr>
        <a:xfrm rot="16200000">
          <a:off x="2169458" y="2814917"/>
          <a:ext cx="448235" cy="17032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345141</xdr:colOff>
      <xdr:row>14</xdr:row>
      <xdr:rowOff>129987</xdr:rowOff>
    </xdr:from>
    <xdr:to>
      <xdr:col>10</xdr:col>
      <xdr:colOff>515470</xdr:colOff>
      <xdr:row>17</xdr:row>
      <xdr:rowOff>40340</xdr:rowOff>
    </xdr:to>
    <xdr:sp macro="" textlink="">
      <xdr:nvSpPr>
        <xdr:cNvPr id="112" name="Freccia a destra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/>
      </xdr:nvSpPr>
      <xdr:spPr>
        <a:xfrm rot="16200000">
          <a:off x="6302188" y="2779058"/>
          <a:ext cx="448235" cy="17032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292473</xdr:colOff>
      <xdr:row>28</xdr:row>
      <xdr:rowOff>62526</xdr:rowOff>
    </xdr:from>
    <xdr:to>
      <xdr:col>5</xdr:col>
      <xdr:colOff>493058</xdr:colOff>
      <xdr:row>37</xdr:row>
      <xdr:rowOff>71939</xdr:rowOff>
    </xdr:to>
    <xdr:sp macro="" textlink="">
      <xdr:nvSpPr>
        <xdr:cNvPr id="113" name="Rettangolo 11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/>
      </xdr:nvSpPr>
      <xdr:spPr>
        <a:xfrm rot="5400000">
          <a:off x="1714836" y="5991222"/>
          <a:ext cx="1623060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333868</xdr:colOff>
      <xdr:row>28</xdr:row>
      <xdr:rowOff>138048</xdr:rowOff>
    </xdr:from>
    <xdr:to>
      <xdr:col>3</xdr:col>
      <xdr:colOff>528918</xdr:colOff>
      <xdr:row>36</xdr:row>
      <xdr:rowOff>171914</xdr:rowOff>
    </xdr:to>
    <xdr:grpSp>
      <xdr:nvGrpSpPr>
        <xdr:cNvPr id="177" name="Gruppo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GrpSpPr/>
      </xdr:nvGrpSpPr>
      <xdr:grpSpPr>
        <a:xfrm>
          <a:off x="1544103" y="6570224"/>
          <a:ext cx="800168" cy="1557866"/>
          <a:chOff x="1600016" y="6387391"/>
          <a:chExt cx="639270" cy="1514930"/>
        </a:xfrm>
      </xdr:grpSpPr>
      <xdr:sp macro="" textlink="">
        <xdr:nvSpPr>
          <xdr:cNvPr id="137" name="Rettangolo 136">
            <a:extLst>
              <a:ext uri="{FF2B5EF4-FFF2-40B4-BE49-F238E27FC236}">
                <a16:creationId xmlns:a16="http://schemas.microsoft.com/office/drawing/2014/main" xmlns="" id="{00000000-0008-0000-0100-000089000000}"/>
              </a:ext>
            </a:extLst>
          </xdr:cNvPr>
          <xdr:cNvSpPr/>
        </xdr:nvSpPr>
        <xdr:spPr>
          <a:xfrm>
            <a:off x="1600715" y="6387391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8" name="Rettangolo 137">
            <a:extLst>
              <a:ext uri="{FF2B5EF4-FFF2-40B4-BE49-F238E27FC236}">
                <a16:creationId xmlns:a16="http://schemas.microsoft.com/office/drawing/2014/main" xmlns="" id="{00000000-0008-0000-0100-00008A000000}"/>
              </a:ext>
            </a:extLst>
          </xdr:cNvPr>
          <xdr:cNvSpPr/>
        </xdr:nvSpPr>
        <xdr:spPr>
          <a:xfrm>
            <a:off x="1600715" y="6464762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9" name="Rettangolo 138">
            <a:extLst>
              <a:ext uri="{FF2B5EF4-FFF2-40B4-BE49-F238E27FC236}">
                <a16:creationId xmlns:a16="http://schemas.microsoft.com/office/drawing/2014/main" xmlns="" id="{00000000-0008-0000-0100-00008B000000}"/>
              </a:ext>
            </a:extLst>
          </xdr:cNvPr>
          <xdr:cNvSpPr/>
        </xdr:nvSpPr>
        <xdr:spPr>
          <a:xfrm>
            <a:off x="1602346" y="6546767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0" name="Rettangolo 139">
            <a:extLst>
              <a:ext uri="{FF2B5EF4-FFF2-40B4-BE49-F238E27FC236}">
                <a16:creationId xmlns:a16="http://schemas.microsoft.com/office/drawing/2014/main" xmlns="" id="{00000000-0008-0000-0100-00008C000000}"/>
              </a:ext>
            </a:extLst>
          </xdr:cNvPr>
          <xdr:cNvSpPr/>
        </xdr:nvSpPr>
        <xdr:spPr>
          <a:xfrm>
            <a:off x="1607006" y="6627307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1" name="Rettangolo 140">
            <a:extLst>
              <a:ext uri="{FF2B5EF4-FFF2-40B4-BE49-F238E27FC236}">
                <a16:creationId xmlns:a16="http://schemas.microsoft.com/office/drawing/2014/main" xmlns="" id="{00000000-0008-0000-0100-00008D000000}"/>
              </a:ext>
            </a:extLst>
          </xdr:cNvPr>
          <xdr:cNvSpPr/>
        </xdr:nvSpPr>
        <xdr:spPr>
          <a:xfrm>
            <a:off x="1607005" y="6706545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2" name="Rettangolo 141">
            <a:extLst>
              <a:ext uri="{FF2B5EF4-FFF2-40B4-BE49-F238E27FC236}">
                <a16:creationId xmlns:a16="http://schemas.microsoft.com/office/drawing/2014/main" xmlns="" id="{00000000-0008-0000-0100-00008E000000}"/>
              </a:ext>
            </a:extLst>
          </xdr:cNvPr>
          <xdr:cNvSpPr/>
        </xdr:nvSpPr>
        <xdr:spPr>
          <a:xfrm>
            <a:off x="1602346" y="6791885"/>
            <a:ext cx="618537" cy="800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3" name="Rettangolo 142">
            <a:extLst>
              <a:ext uri="{FF2B5EF4-FFF2-40B4-BE49-F238E27FC236}">
                <a16:creationId xmlns:a16="http://schemas.microsoft.com/office/drawing/2014/main" xmlns="" id="{00000000-0008-0000-0100-00008F000000}"/>
              </a:ext>
            </a:extLst>
          </xdr:cNvPr>
          <xdr:cNvSpPr/>
        </xdr:nvSpPr>
        <xdr:spPr>
          <a:xfrm>
            <a:off x="1609334" y="6879123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4" name="Rettangolo 143">
            <a:extLst>
              <a:ext uri="{FF2B5EF4-FFF2-40B4-BE49-F238E27FC236}">
                <a16:creationId xmlns:a16="http://schemas.microsoft.com/office/drawing/2014/main" xmlns="" id="{00000000-0008-0000-0100-000090000000}"/>
              </a:ext>
            </a:extLst>
          </xdr:cNvPr>
          <xdr:cNvSpPr/>
        </xdr:nvSpPr>
        <xdr:spPr>
          <a:xfrm>
            <a:off x="1604675" y="7142375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5" name="Rettangolo 144">
            <a:extLst>
              <a:ext uri="{FF2B5EF4-FFF2-40B4-BE49-F238E27FC236}">
                <a16:creationId xmlns:a16="http://schemas.microsoft.com/office/drawing/2014/main" xmlns="" id="{00000000-0008-0000-0100-000091000000}"/>
              </a:ext>
            </a:extLst>
          </xdr:cNvPr>
          <xdr:cNvSpPr/>
        </xdr:nvSpPr>
        <xdr:spPr>
          <a:xfrm>
            <a:off x="1600016" y="7052233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6" name="Rettangolo 145">
            <a:extLst>
              <a:ext uri="{FF2B5EF4-FFF2-40B4-BE49-F238E27FC236}">
                <a16:creationId xmlns:a16="http://schemas.microsoft.com/office/drawing/2014/main" xmlns="" id="{00000000-0008-0000-0100-000092000000}"/>
              </a:ext>
            </a:extLst>
          </xdr:cNvPr>
          <xdr:cNvSpPr/>
        </xdr:nvSpPr>
        <xdr:spPr>
          <a:xfrm>
            <a:off x="1607005" y="6963396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7" name="Rettangolo 146">
            <a:extLst>
              <a:ext uri="{FF2B5EF4-FFF2-40B4-BE49-F238E27FC236}">
                <a16:creationId xmlns:a16="http://schemas.microsoft.com/office/drawing/2014/main" xmlns="" id="{00000000-0008-0000-0100-000093000000}"/>
              </a:ext>
            </a:extLst>
          </xdr:cNvPr>
          <xdr:cNvSpPr/>
        </xdr:nvSpPr>
        <xdr:spPr>
          <a:xfrm>
            <a:off x="1607005" y="7233346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8" name="Rettangolo 147">
            <a:extLst>
              <a:ext uri="{FF2B5EF4-FFF2-40B4-BE49-F238E27FC236}">
                <a16:creationId xmlns:a16="http://schemas.microsoft.com/office/drawing/2014/main" xmlns="" id="{00000000-0008-0000-0100-000094000000}"/>
              </a:ext>
            </a:extLst>
          </xdr:cNvPr>
          <xdr:cNvSpPr/>
        </xdr:nvSpPr>
        <xdr:spPr>
          <a:xfrm>
            <a:off x="1609334" y="7324020"/>
            <a:ext cx="618537" cy="800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9" name="Rettangolo 148">
            <a:extLst>
              <a:ext uri="{FF2B5EF4-FFF2-40B4-BE49-F238E27FC236}">
                <a16:creationId xmlns:a16="http://schemas.microsoft.com/office/drawing/2014/main" xmlns="" id="{00000000-0008-0000-0100-000095000000}"/>
              </a:ext>
            </a:extLst>
          </xdr:cNvPr>
          <xdr:cNvSpPr/>
        </xdr:nvSpPr>
        <xdr:spPr>
          <a:xfrm>
            <a:off x="1614459" y="7408053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0" name="Rettangolo 149">
            <a:extLst>
              <a:ext uri="{FF2B5EF4-FFF2-40B4-BE49-F238E27FC236}">
                <a16:creationId xmlns:a16="http://schemas.microsoft.com/office/drawing/2014/main" xmlns="" id="{00000000-0008-0000-0100-000096000000}"/>
              </a:ext>
            </a:extLst>
          </xdr:cNvPr>
          <xdr:cNvSpPr/>
        </xdr:nvSpPr>
        <xdr:spPr>
          <a:xfrm>
            <a:off x="1614459" y="7494727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1" name="Rettangolo 150">
            <a:extLst>
              <a:ext uri="{FF2B5EF4-FFF2-40B4-BE49-F238E27FC236}">
                <a16:creationId xmlns:a16="http://schemas.microsoft.com/office/drawing/2014/main" xmlns="" id="{00000000-0008-0000-0100-000097000000}"/>
              </a:ext>
            </a:extLst>
          </xdr:cNvPr>
          <xdr:cNvSpPr/>
        </xdr:nvSpPr>
        <xdr:spPr>
          <a:xfrm>
            <a:off x="1616089" y="7575431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2" name="Rettangolo 151">
            <a:extLst>
              <a:ext uri="{FF2B5EF4-FFF2-40B4-BE49-F238E27FC236}">
                <a16:creationId xmlns:a16="http://schemas.microsoft.com/office/drawing/2014/main" xmlns="" id="{00000000-0008-0000-0100-000098000000}"/>
              </a:ext>
            </a:extLst>
          </xdr:cNvPr>
          <xdr:cNvSpPr/>
        </xdr:nvSpPr>
        <xdr:spPr>
          <a:xfrm>
            <a:off x="1620749" y="7655970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3" name="Rettangolo 152">
            <a:extLst>
              <a:ext uri="{FF2B5EF4-FFF2-40B4-BE49-F238E27FC236}">
                <a16:creationId xmlns:a16="http://schemas.microsoft.com/office/drawing/2014/main" xmlns="" id="{00000000-0008-0000-0100-000099000000}"/>
              </a:ext>
            </a:extLst>
          </xdr:cNvPr>
          <xdr:cNvSpPr/>
        </xdr:nvSpPr>
        <xdr:spPr>
          <a:xfrm>
            <a:off x="1620748" y="7736511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4" name="Rettangolo 153">
            <a:extLst>
              <a:ext uri="{FF2B5EF4-FFF2-40B4-BE49-F238E27FC236}">
                <a16:creationId xmlns:a16="http://schemas.microsoft.com/office/drawing/2014/main" xmlns="" id="{00000000-0008-0000-0100-00009A000000}"/>
              </a:ext>
            </a:extLst>
          </xdr:cNvPr>
          <xdr:cNvSpPr/>
        </xdr:nvSpPr>
        <xdr:spPr>
          <a:xfrm>
            <a:off x="1616089" y="7820549"/>
            <a:ext cx="618537" cy="8177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367553</xdr:colOff>
      <xdr:row>29</xdr:row>
      <xdr:rowOff>26894</xdr:rowOff>
    </xdr:from>
    <xdr:to>
      <xdr:col>2</xdr:col>
      <xdr:colOff>206188</xdr:colOff>
      <xdr:row>30</xdr:row>
      <xdr:rowOff>17929</xdr:rowOff>
    </xdr:to>
    <xdr:sp macro="" textlink="">
      <xdr:nvSpPr>
        <xdr:cNvPr id="173" name="Freccia a destra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/>
      </xdr:nvSpPr>
      <xdr:spPr>
        <a:xfrm>
          <a:off x="977153" y="6338047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233085</xdr:colOff>
      <xdr:row>29</xdr:row>
      <xdr:rowOff>26894</xdr:rowOff>
    </xdr:from>
    <xdr:to>
      <xdr:col>9</xdr:col>
      <xdr:colOff>71720</xdr:colOff>
      <xdr:row>30</xdr:row>
      <xdr:rowOff>17929</xdr:rowOff>
    </xdr:to>
    <xdr:sp macro="" textlink="">
      <xdr:nvSpPr>
        <xdr:cNvPr id="174" name="Freccia a destra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/>
      </xdr:nvSpPr>
      <xdr:spPr>
        <a:xfrm>
          <a:off x="4607861" y="1479176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479611</xdr:colOff>
      <xdr:row>38</xdr:row>
      <xdr:rowOff>165846</xdr:rowOff>
    </xdr:from>
    <xdr:to>
      <xdr:col>4</xdr:col>
      <xdr:colOff>40340</xdr:colOff>
      <xdr:row>41</xdr:row>
      <xdr:rowOff>76199</xdr:rowOff>
    </xdr:to>
    <xdr:sp macro="" textlink="">
      <xdr:nvSpPr>
        <xdr:cNvPr id="175" name="Freccia a destra 174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/>
      </xdr:nvSpPr>
      <xdr:spPr>
        <a:xfrm rot="16200000">
          <a:off x="2169458" y="3370728"/>
          <a:ext cx="448236" cy="17032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215153</xdr:colOff>
      <xdr:row>28</xdr:row>
      <xdr:rowOff>113040</xdr:rowOff>
    </xdr:from>
    <xdr:to>
      <xdr:col>5</xdr:col>
      <xdr:colOff>427947</xdr:colOff>
      <xdr:row>36</xdr:row>
      <xdr:rowOff>152096</xdr:rowOff>
    </xdr:to>
    <xdr:grpSp>
      <xdr:nvGrpSpPr>
        <xdr:cNvPr id="178" name="Gruppo 177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GrpSpPr/>
      </xdr:nvGrpSpPr>
      <xdr:grpSpPr>
        <a:xfrm>
          <a:off x="2635624" y="6545216"/>
          <a:ext cx="817911" cy="1563056"/>
          <a:chOff x="1600016" y="6387391"/>
          <a:chExt cx="639270" cy="1514930"/>
        </a:xfrm>
      </xdr:grpSpPr>
      <xdr:sp macro="" textlink="">
        <xdr:nvSpPr>
          <xdr:cNvPr id="179" name="Rettangolo 178">
            <a:extLst>
              <a:ext uri="{FF2B5EF4-FFF2-40B4-BE49-F238E27FC236}">
                <a16:creationId xmlns:a16="http://schemas.microsoft.com/office/drawing/2014/main" xmlns="" id="{00000000-0008-0000-0100-0000B3000000}"/>
              </a:ext>
            </a:extLst>
          </xdr:cNvPr>
          <xdr:cNvSpPr/>
        </xdr:nvSpPr>
        <xdr:spPr>
          <a:xfrm>
            <a:off x="1600715" y="6387391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0" name="Rettangolo 179">
            <a:extLst>
              <a:ext uri="{FF2B5EF4-FFF2-40B4-BE49-F238E27FC236}">
                <a16:creationId xmlns:a16="http://schemas.microsoft.com/office/drawing/2014/main" xmlns="" id="{00000000-0008-0000-0100-0000B4000000}"/>
              </a:ext>
            </a:extLst>
          </xdr:cNvPr>
          <xdr:cNvSpPr/>
        </xdr:nvSpPr>
        <xdr:spPr>
          <a:xfrm>
            <a:off x="1600715" y="6464762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1" name="Rettangolo 180">
            <a:extLst>
              <a:ext uri="{FF2B5EF4-FFF2-40B4-BE49-F238E27FC236}">
                <a16:creationId xmlns:a16="http://schemas.microsoft.com/office/drawing/2014/main" xmlns="" id="{00000000-0008-0000-0100-0000B5000000}"/>
              </a:ext>
            </a:extLst>
          </xdr:cNvPr>
          <xdr:cNvSpPr/>
        </xdr:nvSpPr>
        <xdr:spPr>
          <a:xfrm>
            <a:off x="1602346" y="6546767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2" name="Rettangolo 181">
            <a:extLst>
              <a:ext uri="{FF2B5EF4-FFF2-40B4-BE49-F238E27FC236}">
                <a16:creationId xmlns:a16="http://schemas.microsoft.com/office/drawing/2014/main" xmlns="" id="{00000000-0008-0000-0100-0000B6000000}"/>
              </a:ext>
            </a:extLst>
          </xdr:cNvPr>
          <xdr:cNvSpPr/>
        </xdr:nvSpPr>
        <xdr:spPr>
          <a:xfrm>
            <a:off x="1607006" y="6627307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3" name="Rettangolo 182">
            <a:extLst>
              <a:ext uri="{FF2B5EF4-FFF2-40B4-BE49-F238E27FC236}">
                <a16:creationId xmlns:a16="http://schemas.microsoft.com/office/drawing/2014/main" xmlns="" id="{00000000-0008-0000-0100-0000B7000000}"/>
              </a:ext>
            </a:extLst>
          </xdr:cNvPr>
          <xdr:cNvSpPr/>
        </xdr:nvSpPr>
        <xdr:spPr>
          <a:xfrm>
            <a:off x="1607005" y="6706545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4" name="Rettangolo 183">
            <a:extLst>
              <a:ext uri="{FF2B5EF4-FFF2-40B4-BE49-F238E27FC236}">
                <a16:creationId xmlns:a16="http://schemas.microsoft.com/office/drawing/2014/main" xmlns="" id="{00000000-0008-0000-0100-0000B8000000}"/>
              </a:ext>
            </a:extLst>
          </xdr:cNvPr>
          <xdr:cNvSpPr/>
        </xdr:nvSpPr>
        <xdr:spPr>
          <a:xfrm>
            <a:off x="1602346" y="6791885"/>
            <a:ext cx="618537" cy="800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5" name="Rettangolo 184">
            <a:extLst>
              <a:ext uri="{FF2B5EF4-FFF2-40B4-BE49-F238E27FC236}">
                <a16:creationId xmlns:a16="http://schemas.microsoft.com/office/drawing/2014/main" xmlns="" id="{00000000-0008-0000-0100-0000B9000000}"/>
              </a:ext>
            </a:extLst>
          </xdr:cNvPr>
          <xdr:cNvSpPr/>
        </xdr:nvSpPr>
        <xdr:spPr>
          <a:xfrm>
            <a:off x="1609334" y="6879123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6" name="Rettangolo 185">
            <a:extLst>
              <a:ext uri="{FF2B5EF4-FFF2-40B4-BE49-F238E27FC236}">
                <a16:creationId xmlns:a16="http://schemas.microsoft.com/office/drawing/2014/main" xmlns="" id="{00000000-0008-0000-0100-0000BA000000}"/>
              </a:ext>
            </a:extLst>
          </xdr:cNvPr>
          <xdr:cNvSpPr/>
        </xdr:nvSpPr>
        <xdr:spPr>
          <a:xfrm>
            <a:off x="1604675" y="7142375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7" name="Rettangolo 186">
            <a:extLst>
              <a:ext uri="{FF2B5EF4-FFF2-40B4-BE49-F238E27FC236}">
                <a16:creationId xmlns:a16="http://schemas.microsoft.com/office/drawing/2014/main" xmlns="" id="{00000000-0008-0000-0100-0000BB000000}"/>
              </a:ext>
            </a:extLst>
          </xdr:cNvPr>
          <xdr:cNvSpPr/>
        </xdr:nvSpPr>
        <xdr:spPr>
          <a:xfrm>
            <a:off x="1600016" y="7052233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8" name="Rettangolo 187">
            <a:extLst>
              <a:ext uri="{FF2B5EF4-FFF2-40B4-BE49-F238E27FC236}">
                <a16:creationId xmlns:a16="http://schemas.microsoft.com/office/drawing/2014/main" xmlns="" id="{00000000-0008-0000-0100-0000BC000000}"/>
              </a:ext>
            </a:extLst>
          </xdr:cNvPr>
          <xdr:cNvSpPr/>
        </xdr:nvSpPr>
        <xdr:spPr>
          <a:xfrm>
            <a:off x="1607005" y="6963396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9" name="Rettangolo 188">
            <a:extLst>
              <a:ext uri="{FF2B5EF4-FFF2-40B4-BE49-F238E27FC236}">
                <a16:creationId xmlns:a16="http://schemas.microsoft.com/office/drawing/2014/main" xmlns="" id="{00000000-0008-0000-0100-0000BD000000}"/>
              </a:ext>
            </a:extLst>
          </xdr:cNvPr>
          <xdr:cNvSpPr/>
        </xdr:nvSpPr>
        <xdr:spPr>
          <a:xfrm>
            <a:off x="1607005" y="7233346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0" name="Rettangolo 189">
            <a:extLst>
              <a:ext uri="{FF2B5EF4-FFF2-40B4-BE49-F238E27FC236}">
                <a16:creationId xmlns:a16="http://schemas.microsoft.com/office/drawing/2014/main" xmlns="" id="{00000000-0008-0000-0100-0000BE000000}"/>
              </a:ext>
            </a:extLst>
          </xdr:cNvPr>
          <xdr:cNvSpPr/>
        </xdr:nvSpPr>
        <xdr:spPr>
          <a:xfrm>
            <a:off x="1609334" y="7324020"/>
            <a:ext cx="618537" cy="800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1" name="Rettangolo 190">
            <a:extLst>
              <a:ext uri="{FF2B5EF4-FFF2-40B4-BE49-F238E27FC236}">
                <a16:creationId xmlns:a16="http://schemas.microsoft.com/office/drawing/2014/main" xmlns="" id="{00000000-0008-0000-0100-0000BF000000}"/>
              </a:ext>
            </a:extLst>
          </xdr:cNvPr>
          <xdr:cNvSpPr/>
        </xdr:nvSpPr>
        <xdr:spPr>
          <a:xfrm>
            <a:off x="1614459" y="7408053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2" name="Rettangolo 191">
            <a:extLst>
              <a:ext uri="{FF2B5EF4-FFF2-40B4-BE49-F238E27FC236}">
                <a16:creationId xmlns:a16="http://schemas.microsoft.com/office/drawing/2014/main" xmlns="" id="{00000000-0008-0000-0100-0000C0000000}"/>
              </a:ext>
            </a:extLst>
          </xdr:cNvPr>
          <xdr:cNvSpPr/>
        </xdr:nvSpPr>
        <xdr:spPr>
          <a:xfrm>
            <a:off x="1614459" y="7494727"/>
            <a:ext cx="618537" cy="8177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3" name="Rettangolo 192">
            <a:extLst>
              <a:ext uri="{FF2B5EF4-FFF2-40B4-BE49-F238E27FC236}">
                <a16:creationId xmlns:a16="http://schemas.microsoft.com/office/drawing/2014/main" xmlns="" id="{00000000-0008-0000-0100-0000C1000000}"/>
              </a:ext>
            </a:extLst>
          </xdr:cNvPr>
          <xdr:cNvSpPr/>
        </xdr:nvSpPr>
        <xdr:spPr>
          <a:xfrm>
            <a:off x="1616089" y="7575431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4" name="Rettangolo 193">
            <a:extLst>
              <a:ext uri="{FF2B5EF4-FFF2-40B4-BE49-F238E27FC236}">
                <a16:creationId xmlns:a16="http://schemas.microsoft.com/office/drawing/2014/main" xmlns="" id="{00000000-0008-0000-0100-0000C2000000}"/>
              </a:ext>
            </a:extLst>
          </xdr:cNvPr>
          <xdr:cNvSpPr/>
        </xdr:nvSpPr>
        <xdr:spPr>
          <a:xfrm>
            <a:off x="1620749" y="7655970"/>
            <a:ext cx="618537" cy="8108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5" name="Rettangolo 194">
            <a:extLst>
              <a:ext uri="{FF2B5EF4-FFF2-40B4-BE49-F238E27FC236}">
                <a16:creationId xmlns:a16="http://schemas.microsoft.com/office/drawing/2014/main" xmlns="" id="{00000000-0008-0000-0100-0000C3000000}"/>
              </a:ext>
            </a:extLst>
          </xdr:cNvPr>
          <xdr:cNvSpPr/>
        </xdr:nvSpPr>
        <xdr:spPr>
          <a:xfrm>
            <a:off x="1620748" y="7736511"/>
            <a:ext cx="618537" cy="7940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6" name="Rettangolo 195">
            <a:extLst>
              <a:ext uri="{FF2B5EF4-FFF2-40B4-BE49-F238E27FC236}">
                <a16:creationId xmlns:a16="http://schemas.microsoft.com/office/drawing/2014/main" xmlns="" id="{00000000-0008-0000-0100-0000C4000000}"/>
              </a:ext>
            </a:extLst>
          </xdr:cNvPr>
          <xdr:cNvSpPr/>
        </xdr:nvSpPr>
        <xdr:spPr>
          <a:xfrm>
            <a:off x="1616089" y="7820549"/>
            <a:ext cx="618537" cy="8177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542838</xdr:colOff>
      <xdr:row>28</xdr:row>
      <xdr:rowOff>156225</xdr:rowOff>
    </xdr:from>
    <xdr:to>
      <xdr:col>4</xdr:col>
      <xdr:colOff>1416</xdr:colOff>
      <xdr:row>34</xdr:row>
      <xdr:rowOff>102387</xdr:rowOff>
    </xdr:to>
    <xdr:sp macro="" textlink="">
      <xdr:nvSpPr>
        <xdr:cNvPr id="198" name="Rettangolo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/>
      </xdr:nvSpPr>
      <xdr:spPr>
        <a:xfrm>
          <a:off x="2371638" y="6288084"/>
          <a:ext cx="68178" cy="1021927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15014</xdr:colOff>
      <xdr:row>28</xdr:row>
      <xdr:rowOff>160045</xdr:rowOff>
    </xdr:from>
    <xdr:to>
      <xdr:col>4</xdr:col>
      <xdr:colOff>89648</xdr:colOff>
      <xdr:row>34</xdr:row>
      <xdr:rowOff>102387</xdr:rowOff>
    </xdr:to>
    <xdr:sp macro="" textlink="">
      <xdr:nvSpPr>
        <xdr:cNvPr id="199" name="Rettangolo 198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/>
      </xdr:nvSpPr>
      <xdr:spPr>
        <a:xfrm>
          <a:off x="2453414" y="6291904"/>
          <a:ext cx="74634" cy="1018107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111266</xdr:colOff>
      <xdr:row>28</xdr:row>
      <xdr:rowOff>164055</xdr:rowOff>
    </xdr:from>
    <xdr:to>
      <xdr:col>4</xdr:col>
      <xdr:colOff>185900</xdr:colOff>
      <xdr:row>34</xdr:row>
      <xdr:rowOff>106397</xdr:rowOff>
    </xdr:to>
    <xdr:sp macro="" textlink="">
      <xdr:nvSpPr>
        <xdr:cNvPr id="202" name="Rettangolo 20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/>
      </xdr:nvSpPr>
      <xdr:spPr>
        <a:xfrm>
          <a:off x="2549666" y="6295914"/>
          <a:ext cx="74634" cy="1018107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134467</xdr:colOff>
      <xdr:row>28</xdr:row>
      <xdr:rowOff>62751</xdr:rowOff>
    </xdr:from>
    <xdr:to>
      <xdr:col>12</xdr:col>
      <xdr:colOff>129087</xdr:colOff>
      <xdr:row>37</xdr:row>
      <xdr:rowOff>72164</xdr:rowOff>
    </xdr:to>
    <xdr:sp macro="" textlink="">
      <xdr:nvSpPr>
        <xdr:cNvPr id="204" name="Rettangolo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/>
      </xdr:nvSpPr>
      <xdr:spPr>
        <a:xfrm rot="5400000">
          <a:off x="5219023" y="6094430"/>
          <a:ext cx="1623060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203786</xdr:colOff>
      <xdr:row>28</xdr:row>
      <xdr:rowOff>124631</xdr:rowOff>
    </xdr:from>
    <xdr:to>
      <xdr:col>10</xdr:col>
      <xdr:colOff>322730</xdr:colOff>
      <xdr:row>33</xdr:row>
      <xdr:rowOff>134470</xdr:rowOff>
    </xdr:to>
    <xdr:sp macro="" textlink="">
      <xdr:nvSpPr>
        <xdr:cNvPr id="171" name="Rettangolo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/>
      </xdr:nvSpPr>
      <xdr:spPr>
        <a:xfrm>
          <a:off x="5188162" y="6256490"/>
          <a:ext cx="728544" cy="9063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517551</xdr:colOff>
      <xdr:row>28</xdr:row>
      <xdr:rowOff>124631</xdr:rowOff>
    </xdr:from>
    <xdr:to>
      <xdr:col>12</xdr:col>
      <xdr:colOff>26895</xdr:colOff>
      <xdr:row>33</xdr:row>
      <xdr:rowOff>134470</xdr:rowOff>
    </xdr:to>
    <xdr:sp macro="" textlink="">
      <xdr:nvSpPr>
        <xdr:cNvPr id="205" name="Rettangolo 204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/>
      </xdr:nvSpPr>
      <xdr:spPr>
        <a:xfrm>
          <a:off x="6111527" y="6256490"/>
          <a:ext cx="728544" cy="9063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233082</xdr:colOff>
      <xdr:row>34</xdr:row>
      <xdr:rowOff>53788</xdr:rowOff>
    </xdr:from>
    <xdr:to>
      <xdr:col>12</xdr:col>
      <xdr:colOff>53789</xdr:colOff>
      <xdr:row>37</xdr:row>
      <xdr:rowOff>17930</xdr:rowOff>
    </xdr:to>
    <xdr:sp macro="" textlink="">
      <xdr:nvSpPr>
        <xdr:cNvPr id="206" name="Nuvola 205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/>
      </xdr:nvSpPr>
      <xdr:spPr>
        <a:xfrm>
          <a:off x="5217458" y="7261412"/>
          <a:ext cx="1649507" cy="502024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3</xdr:col>
      <xdr:colOff>537881</xdr:colOff>
      <xdr:row>34</xdr:row>
      <xdr:rowOff>134470</xdr:rowOff>
    </xdr:from>
    <xdr:to>
      <xdr:col>4</xdr:col>
      <xdr:colOff>215153</xdr:colOff>
      <xdr:row>37</xdr:row>
      <xdr:rowOff>44824</xdr:rowOff>
    </xdr:to>
    <xdr:sp macro="" textlink="">
      <xdr:nvSpPr>
        <xdr:cNvPr id="207" name="Nuvola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/>
      </xdr:nvSpPr>
      <xdr:spPr>
        <a:xfrm>
          <a:off x="2366681" y="7342094"/>
          <a:ext cx="286872" cy="448236"/>
        </a:xfrm>
        <a:prstGeom prst="cloud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295832</xdr:colOff>
      <xdr:row>51</xdr:row>
      <xdr:rowOff>0</xdr:rowOff>
    </xdr:from>
    <xdr:to>
      <xdr:col>5</xdr:col>
      <xdr:colOff>496417</xdr:colOff>
      <xdr:row>60</xdr:row>
      <xdr:rowOff>9413</xdr:rowOff>
    </xdr:to>
    <xdr:sp macro="" textlink="">
      <xdr:nvSpPr>
        <xdr:cNvPr id="208" name="Rettangolo 207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/>
      </xdr:nvSpPr>
      <xdr:spPr>
        <a:xfrm rot="5400000">
          <a:off x="1718195" y="10608272"/>
          <a:ext cx="1623060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214464</xdr:colOff>
      <xdr:row>51</xdr:row>
      <xdr:rowOff>85680</xdr:rowOff>
    </xdr:from>
    <xdr:to>
      <xdr:col>5</xdr:col>
      <xdr:colOff>466476</xdr:colOff>
      <xdr:row>59</xdr:row>
      <xdr:rowOff>146463</xdr:rowOff>
    </xdr:to>
    <xdr:grpSp>
      <xdr:nvGrpSpPr>
        <xdr:cNvPr id="268" name="Gruppo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GrpSpPr/>
      </xdr:nvGrpSpPr>
      <xdr:grpSpPr>
        <a:xfrm>
          <a:off x="2634935" y="11448445"/>
          <a:ext cx="857129" cy="1584783"/>
          <a:chOff x="5144018" y="10806434"/>
          <a:chExt cx="861612" cy="1514445"/>
        </a:xfrm>
      </xdr:grpSpPr>
      <xdr:sp macro="" textlink="">
        <xdr:nvSpPr>
          <xdr:cNvPr id="240" name="Rettangolo 239">
            <a:extLst>
              <a:ext uri="{FF2B5EF4-FFF2-40B4-BE49-F238E27FC236}">
                <a16:creationId xmlns:a16="http://schemas.microsoft.com/office/drawing/2014/main" xmlns="" id="{00000000-0008-0000-0100-0000F0000000}"/>
              </a:ext>
            </a:extLst>
          </xdr:cNvPr>
          <xdr:cNvSpPr/>
        </xdr:nvSpPr>
        <xdr:spPr>
          <a:xfrm>
            <a:off x="5156577" y="11799672"/>
            <a:ext cx="833668" cy="7892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9" name="Rettangolo 228">
            <a:extLst>
              <a:ext uri="{FF2B5EF4-FFF2-40B4-BE49-F238E27FC236}">
                <a16:creationId xmlns:a16="http://schemas.microsoft.com/office/drawing/2014/main" xmlns="" id="{00000000-0008-0000-0100-0000E5000000}"/>
              </a:ext>
            </a:extLst>
          </xdr:cNvPr>
          <xdr:cNvSpPr/>
        </xdr:nvSpPr>
        <xdr:spPr>
          <a:xfrm>
            <a:off x="5144960" y="10806434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0" name="Rettangolo 229">
            <a:extLst>
              <a:ext uri="{FF2B5EF4-FFF2-40B4-BE49-F238E27FC236}">
                <a16:creationId xmlns:a16="http://schemas.microsoft.com/office/drawing/2014/main" xmlns="" id="{00000000-0008-0000-0100-0000E6000000}"/>
              </a:ext>
            </a:extLst>
          </xdr:cNvPr>
          <xdr:cNvSpPr/>
        </xdr:nvSpPr>
        <xdr:spPr>
          <a:xfrm>
            <a:off x="5144960" y="10888466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1" name="Rettangolo 230">
            <a:extLst>
              <a:ext uri="{FF2B5EF4-FFF2-40B4-BE49-F238E27FC236}">
                <a16:creationId xmlns:a16="http://schemas.microsoft.com/office/drawing/2014/main" xmlns="" id="{00000000-0008-0000-0100-0000E7000000}"/>
              </a:ext>
            </a:extLst>
          </xdr:cNvPr>
          <xdr:cNvSpPr/>
        </xdr:nvSpPr>
        <xdr:spPr>
          <a:xfrm>
            <a:off x="5147158" y="10975402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2" name="Rettangolo 231">
            <a:extLst>
              <a:ext uri="{FF2B5EF4-FFF2-40B4-BE49-F238E27FC236}">
                <a16:creationId xmlns:a16="http://schemas.microsoft.com/office/drawing/2014/main" xmlns="" id="{00000000-0008-0000-0100-0000E8000000}"/>
              </a:ext>
            </a:extLst>
          </xdr:cNvPr>
          <xdr:cNvSpPr/>
        </xdr:nvSpPr>
        <xdr:spPr>
          <a:xfrm>
            <a:off x="5153439" y="11060792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3" name="Rettangolo 232">
            <a:extLst>
              <a:ext uri="{FF2B5EF4-FFF2-40B4-BE49-F238E27FC236}">
                <a16:creationId xmlns:a16="http://schemas.microsoft.com/office/drawing/2014/main" xmlns="" id="{00000000-0008-0000-0100-0000E9000000}"/>
              </a:ext>
            </a:extLst>
          </xdr:cNvPr>
          <xdr:cNvSpPr/>
        </xdr:nvSpPr>
        <xdr:spPr>
          <a:xfrm>
            <a:off x="5153438" y="11144797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4" name="Rettangolo 233">
            <a:extLst>
              <a:ext uri="{FF2B5EF4-FFF2-40B4-BE49-F238E27FC236}">
                <a16:creationId xmlns:a16="http://schemas.microsoft.com/office/drawing/2014/main" xmlns="" id="{00000000-0008-0000-0100-0000EA000000}"/>
              </a:ext>
            </a:extLst>
          </xdr:cNvPr>
          <xdr:cNvSpPr/>
        </xdr:nvSpPr>
        <xdr:spPr>
          <a:xfrm>
            <a:off x="5147158" y="11235267"/>
            <a:ext cx="833668" cy="8491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5" name="Rettangolo 234">
            <a:extLst>
              <a:ext uri="{FF2B5EF4-FFF2-40B4-BE49-F238E27FC236}">
                <a16:creationId xmlns:a16="http://schemas.microsoft.com/office/drawing/2014/main" xmlns="" id="{00000000-0008-0000-0100-0000EB000000}"/>
              </a:ext>
            </a:extLst>
          </xdr:cNvPr>
          <xdr:cNvSpPr/>
        </xdr:nvSpPr>
        <xdr:spPr>
          <a:xfrm>
            <a:off x="5156577" y="1132775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6" name="Rettangolo 235">
            <a:extLst>
              <a:ext uri="{FF2B5EF4-FFF2-40B4-BE49-F238E27FC236}">
                <a16:creationId xmlns:a16="http://schemas.microsoft.com/office/drawing/2014/main" xmlns="" id="{00000000-0008-0000-0100-0000EC000000}"/>
              </a:ext>
            </a:extLst>
          </xdr:cNvPr>
          <xdr:cNvSpPr/>
        </xdr:nvSpPr>
        <xdr:spPr>
          <a:xfrm>
            <a:off x="5150297" y="11606851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7" name="Rettangolo 236">
            <a:extLst>
              <a:ext uri="{FF2B5EF4-FFF2-40B4-BE49-F238E27FC236}">
                <a16:creationId xmlns:a16="http://schemas.microsoft.com/office/drawing/2014/main" xmlns="" id="{00000000-0008-0000-0100-0000ED000000}"/>
              </a:ext>
            </a:extLst>
          </xdr:cNvPr>
          <xdr:cNvSpPr/>
        </xdr:nvSpPr>
        <xdr:spPr>
          <a:xfrm>
            <a:off x="5144018" y="11511283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8" name="Rettangolo 237">
            <a:extLst>
              <a:ext uri="{FF2B5EF4-FFF2-40B4-BE49-F238E27FC236}">
                <a16:creationId xmlns:a16="http://schemas.microsoft.com/office/drawing/2014/main" xmlns="" id="{00000000-0008-0000-0100-0000EE000000}"/>
              </a:ext>
            </a:extLst>
          </xdr:cNvPr>
          <xdr:cNvSpPr/>
        </xdr:nvSpPr>
        <xdr:spPr>
          <a:xfrm>
            <a:off x="5153438" y="11417105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9" name="Rettangolo 238">
            <a:extLst>
              <a:ext uri="{FF2B5EF4-FFF2-40B4-BE49-F238E27FC236}">
                <a16:creationId xmlns:a16="http://schemas.microsoft.com/office/drawing/2014/main" xmlns="" id="{00000000-0008-0000-0100-0000EF000000}"/>
              </a:ext>
            </a:extLst>
          </xdr:cNvPr>
          <xdr:cNvSpPr/>
        </xdr:nvSpPr>
        <xdr:spPr>
          <a:xfrm>
            <a:off x="5153438" y="11703304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1" name="Rettangolo 240">
            <a:extLst>
              <a:ext uri="{FF2B5EF4-FFF2-40B4-BE49-F238E27FC236}">
                <a16:creationId xmlns:a16="http://schemas.microsoft.com/office/drawing/2014/main" xmlns="" id="{00000000-0008-0000-0100-0000F1000000}"/>
              </a:ext>
            </a:extLst>
          </xdr:cNvPr>
          <xdr:cNvSpPr/>
        </xdr:nvSpPr>
        <xdr:spPr>
          <a:xfrm>
            <a:off x="5163484" y="11888515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2" name="Rettangolo 241">
            <a:extLst>
              <a:ext uri="{FF2B5EF4-FFF2-40B4-BE49-F238E27FC236}">
                <a16:creationId xmlns:a16="http://schemas.microsoft.com/office/drawing/2014/main" xmlns="" id="{00000000-0008-0000-0100-0000F2000000}"/>
              </a:ext>
            </a:extLst>
          </xdr:cNvPr>
          <xdr:cNvSpPr/>
        </xdr:nvSpPr>
        <xdr:spPr>
          <a:xfrm>
            <a:off x="5163484" y="1198040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3" name="Rettangolo 242">
            <a:extLst>
              <a:ext uri="{FF2B5EF4-FFF2-40B4-BE49-F238E27FC236}">
                <a16:creationId xmlns:a16="http://schemas.microsoft.com/office/drawing/2014/main" xmlns="" id="{00000000-0008-0000-0100-0000F3000000}"/>
              </a:ext>
            </a:extLst>
          </xdr:cNvPr>
          <xdr:cNvSpPr/>
        </xdr:nvSpPr>
        <xdr:spPr>
          <a:xfrm>
            <a:off x="5165681" y="12065940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4" name="Rettangolo 243">
            <a:extLst>
              <a:ext uri="{FF2B5EF4-FFF2-40B4-BE49-F238E27FC236}">
                <a16:creationId xmlns:a16="http://schemas.microsoft.com/office/drawing/2014/main" xmlns="" id="{00000000-0008-0000-0100-0000F4000000}"/>
              </a:ext>
            </a:extLst>
          </xdr:cNvPr>
          <xdr:cNvSpPr/>
        </xdr:nvSpPr>
        <xdr:spPr>
          <a:xfrm>
            <a:off x="5171962" y="12151326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5" name="Rettangolo 244">
            <a:extLst>
              <a:ext uri="{FF2B5EF4-FFF2-40B4-BE49-F238E27FC236}">
                <a16:creationId xmlns:a16="http://schemas.microsoft.com/office/drawing/2014/main" xmlns="" id="{00000000-0008-0000-0100-0000F5000000}"/>
              </a:ext>
            </a:extLst>
          </xdr:cNvPr>
          <xdr:cNvSpPr/>
        </xdr:nvSpPr>
        <xdr:spPr>
          <a:xfrm>
            <a:off x="5171961" y="12236690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582057</xdr:colOff>
      <xdr:row>51</xdr:row>
      <xdr:rowOff>93699</xdr:rowOff>
    </xdr:from>
    <xdr:to>
      <xdr:col>4</xdr:col>
      <xdr:colOff>40635</xdr:colOff>
      <xdr:row>57</xdr:row>
      <xdr:rowOff>39861</xdr:rowOff>
    </xdr:to>
    <xdr:sp macro="" textlink="">
      <xdr:nvSpPr>
        <xdr:cNvPr id="247" name="Rettangolo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/>
      </xdr:nvSpPr>
      <xdr:spPr>
        <a:xfrm>
          <a:off x="2410857" y="10905134"/>
          <a:ext cx="68178" cy="1021927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78765</xdr:colOff>
      <xdr:row>51</xdr:row>
      <xdr:rowOff>101529</xdr:rowOff>
    </xdr:from>
    <xdr:to>
      <xdr:col>4</xdr:col>
      <xdr:colOff>153399</xdr:colOff>
      <xdr:row>57</xdr:row>
      <xdr:rowOff>43871</xdr:rowOff>
    </xdr:to>
    <xdr:sp macro="" textlink="">
      <xdr:nvSpPr>
        <xdr:cNvPr id="249" name="Rettangolo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/>
      </xdr:nvSpPr>
      <xdr:spPr>
        <a:xfrm>
          <a:off x="2517165" y="10912964"/>
          <a:ext cx="74634" cy="1018107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319972</xdr:colOff>
      <xdr:row>51</xdr:row>
      <xdr:rowOff>79819</xdr:rowOff>
    </xdr:from>
    <xdr:to>
      <xdr:col>3</xdr:col>
      <xdr:colOff>571984</xdr:colOff>
      <xdr:row>59</xdr:row>
      <xdr:rowOff>140602</xdr:rowOff>
    </xdr:to>
    <xdr:grpSp>
      <xdr:nvGrpSpPr>
        <xdr:cNvPr id="269" name="Gruppo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GrpSpPr/>
      </xdr:nvGrpSpPr>
      <xdr:grpSpPr>
        <a:xfrm>
          <a:off x="1530207" y="11442584"/>
          <a:ext cx="857130" cy="1584783"/>
          <a:chOff x="5144018" y="10806434"/>
          <a:chExt cx="861612" cy="1514445"/>
        </a:xfrm>
      </xdr:grpSpPr>
      <xdr:sp macro="" textlink="">
        <xdr:nvSpPr>
          <xdr:cNvPr id="270" name="Rettangolo 269">
            <a:extLst>
              <a:ext uri="{FF2B5EF4-FFF2-40B4-BE49-F238E27FC236}">
                <a16:creationId xmlns:a16="http://schemas.microsoft.com/office/drawing/2014/main" xmlns="" id="{00000000-0008-0000-0100-00000E010000}"/>
              </a:ext>
            </a:extLst>
          </xdr:cNvPr>
          <xdr:cNvSpPr/>
        </xdr:nvSpPr>
        <xdr:spPr>
          <a:xfrm>
            <a:off x="5156577" y="11799672"/>
            <a:ext cx="833668" cy="7892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1" name="Rettangolo 270">
            <a:extLst>
              <a:ext uri="{FF2B5EF4-FFF2-40B4-BE49-F238E27FC236}">
                <a16:creationId xmlns:a16="http://schemas.microsoft.com/office/drawing/2014/main" xmlns="" id="{00000000-0008-0000-0100-00000F010000}"/>
              </a:ext>
            </a:extLst>
          </xdr:cNvPr>
          <xdr:cNvSpPr/>
        </xdr:nvSpPr>
        <xdr:spPr>
          <a:xfrm>
            <a:off x="5144960" y="10806434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2" name="Rettangolo 271">
            <a:extLst>
              <a:ext uri="{FF2B5EF4-FFF2-40B4-BE49-F238E27FC236}">
                <a16:creationId xmlns:a16="http://schemas.microsoft.com/office/drawing/2014/main" xmlns="" id="{00000000-0008-0000-0100-000010010000}"/>
              </a:ext>
            </a:extLst>
          </xdr:cNvPr>
          <xdr:cNvSpPr/>
        </xdr:nvSpPr>
        <xdr:spPr>
          <a:xfrm>
            <a:off x="5144960" y="10888466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3" name="Rettangolo 272">
            <a:extLst>
              <a:ext uri="{FF2B5EF4-FFF2-40B4-BE49-F238E27FC236}">
                <a16:creationId xmlns:a16="http://schemas.microsoft.com/office/drawing/2014/main" xmlns="" id="{00000000-0008-0000-0100-000011010000}"/>
              </a:ext>
            </a:extLst>
          </xdr:cNvPr>
          <xdr:cNvSpPr/>
        </xdr:nvSpPr>
        <xdr:spPr>
          <a:xfrm>
            <a:off x="5147158" y="10975402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4" name="Rettangolo 273">
            <a:extLst>
              <a:ext uri="{FF2B5EF4-FFF2-40B4-BE49-F238E27FC236}">
                <a16:creationId xmlns:a16="http://schemas.microsoft.com/office/drawing/2014/main" xmlns="" id="{00000000-0008-0000-0100-000012010000}"/>
              </a:ext>
            </a:extLst>
          </xdr:cNvPr>
          <xdr:cNvSpPr/>
        </xdr:nvSpPr>
        <xdr:spPr>
          <a:xfrm>
            <a:off x="5153439" y="11060792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5" name="Rettangolo 274">
            <a:extLst>
              <a:ext uri="{FF2B5EF4-FFF2-40B4-BE49-F238E27FC236}">
                <a16:creationId xmlns:a16="http://schemas.microsoft.com/office/drawing/2014/main" xmlns="" id="{00000000-0008-0000-0100-000013010000}"/>
              </a:ext>
            </a:extLst>
          </xdr:cNvPr>
          <xdr:cNvSpPr/>
        </xdr:nvSpPr>
        <xdr:spPr>
          <a:xfrm>
            <a:off x="5153438" y="11144797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6" name="Rettangolo 275">
            <a:extLst>
              <a:ext uri="{FF2B5EF4-FFF2-40B4-BE49-F238E27FC236}">
                <a16:creationId xmlns:a16="http://schemas.microsoft.com/office/drawing/2014/main" xmlns="" id="{00000000-0008-0000-0100-000014010000}"/>
              </a:ext>
            </a:extLst>
          </xdr:cNvPr>
          <xdr:cNvSpPr/>
        </xdr:nvSpPr>
        <xdr:spPr>
          <a:xfrm>
            <a:off x="5147158" y="11235267"/>
            <a:ext cx="833668" cy="8491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7" name="Rettangolo 276">
            <a:extLst>
              <a:ext uri="{FF2B5EF4-FFF2-40B4-BE49-F238E27FC236}">
                <a16:creationId xmlns:a16="http://schemas.microsoft.com/office/drawing/2014/main" xmlns="" id="{00000000-0008-0000-0100-000015010000}"/>
              </a:ext>
            </a:extLst>
          </xdr:cNvPr>
          <xdr:cNvSpPr/>
        </xdr:nvSpPr>
        <xdr:spPr>
          <a:xfrm>
            <a:off x="5156577" y="1132775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8" name="Rettangolo 277">
            <a:extLst>
              <a:ext uri="{FF2B5EF4-FFF2-40B4-BE49-F238E27FC236}">
                <a16:creationId xmlns:a16="http://schemas.microsoft.com/office/drawing/2014/main" xmlns="" id="{00000000-0008-0000-0100-000016010000}"/>
              </a:ext>
            </a:extLst>
          </xdr:cNvPr>
          <xdr:cNvSpPr/>
        </xdr:nvSpPr>
        <xdr:spPr>
          <a:xfrm>
            <a:off x="5150297" y="11606851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9" name="Rettangolo 278">
            <a:extLst>
              <a:ext uri="{FF2B5EF4-FFF2-40B4-BE49-F238E27FC236}">
                <a16:creationId xmlns:a16="http://schemas.microsoft.com/office/drawing/2014/main" xmlns="" id="{00000000-0008-0000-0100-000017010000}"/>
              </a:ext>
            </a:extLst>
          </xdr:cNvPr>
          <xdr:cNvSpPr/>
        </xdr:nvSpPr>
        <xdr:spPr>
          <a:xfrm>
            <a:off x="5144018" y="11511283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0" name="Rettangolo 279">
            <a:extLst>
              <a:ext uri="{FF2B5EF4-FFF2-40B4-BE49-F238E27FC236}">
                <a16:creationId xmlns:a16="http://schemas.microsoft.com/office/drawing/2014/main" xmlns="" id="{00000000-0008-0000-0100-000018010000}"/>
              </a:ext>
            </a:extLst>
          </xdr:cNvPr>
          <xdr:cNvSpPr/>
        </xdr:nvSpPr>
        <xdr:spPr>
          <a:xfrm>
            <a:off x="5153438" y="11417105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1" name="Rettangolo 280">
            <a:extLst>
              <a:ext uri="{FF2B5EF4-FFF2-40B4-BE49-F238E27FC236}">
                <a16:creationId xmlns:a16="http://schemas.microsoft.com/office/drawing/2014/main" xmlns="" id="{00000000-0008-0000-0100-000019010000}"/>
              </a:ext>
            </a:extLst>
          </xdr:cNvPr>
          <xdr:cNvSpPr/>
        </xdr:nvSpPr>
        <xdr:spPr>
          <a:xfrm>
            <a:off x="5153438" y="11703304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2" name="Rettangolo 281">
            <a:extLst>
              <a:ext uri="{FF2B5EF4-FFF2-40B4-BE49-F238E27FC236}">
                <a16:creationId xmlns:a16="http://schemas.microsoft.com/office/drawing/2014/main" xmlns="" id="{00000000-0008-0000-0100-00001A010000}"/>
              </a:ext>
            </a:extLst>
          </xdr:cNvPr>
          <xdr:cNvSpPr/>
        </xdr:nvSpPr>
        <xdr:spPr>
          <a:xfrm>
            <a:off x="5163484" y="11888515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3" name="Rettangolo 282">
            <a:extLst>
              <a:ext uri="{FF2B5EF4-FFF2-40B4-BE49-F238E27FC236}">
                <a16:creationId xmlns:a16="http://schemas.microsoft.com/office/drawing/2014/main" xmlns="" id="{00000000-0008-0000-0100-00001B010000}"/>
              </a:ext>
            </a:extLst>
          </xdr:cNvPr>
          <xdr:cNvSpPr/>
        </xdr:nvSpPr>
        <xdr:spPr>
          <a:xfrm>
            <a:off x="5163484" y="1198040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4" name="Rettangolo 283">
            <a:extLst>
              <a:ext uri="{FF2B5EF4-FFF2-40B4-BE49-F238E27FC236}">
                <a16:creationId xmlns:a16="http://schemas.microsoft.com/office/drawing/2014/main" xmlns="" id="{00000000-0008-0000-0100-00001C010000}"/>
              </a:ext>
            </a:extLst>
          </xdr:cNvPr>
          <xdr:cNvSpPr/>
        </xdr:nvSpPr>
        <xdr:spPr>
          <a:xfrm>
            <a:off x="5165681" y="12065940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5" name="Rettangolo 284">
            <a:extLst>
              <a:ext uri="{FF2B5EF4-FFF2-40B4-BE49-F238E27FC236}">
                <a16:creationId xmlns:a16="http://schemas.microsoft.com/office/drawing/2014/main" xmlns="" id="{00000000-0008-0000-0100-00001D010000}"/>
              </a:ext>
            </a:extLst>
          </xdr:cNvPr>
          <xdr:cNvSpPr/>
        </xdr:nvSpPr>
        <xdr:spPr>
          <a:xfrm>
            <a:off x="5171962" y="12151326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86" name="Rettangolo 285">
            <a:extLst>
              <a:ext uri="{FF2B5EF4-FFF2-40B4-BE49-F238E27FC236}">
                <a16:creationId xmlns:a16="http://schemas.microsoft.com/office/drawing/2014/main" xmlns="" id="{00000000-0008-0000-0100-00001E010000}"/>
              </a:ext>
            </a:extLst>
          </xdr:cNvPr>
          <xdr:cNvSpPr/>
        </xdr:nvSpPr>
        <xdr:spPr>
          <a:xfrm>
            <a:off x="5171961" y="12236690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370118</xdr:colOff>
      <xdr:row>52</xdr:row>
      <xdr:rowOff>0</xdr:rowOff>
    </xdr:from>
    <xdr:to>
      <xdr:col>2</xdr:col>
      <xdr:colOff>208753</xdr:colOff>
      <xdr:row>52</xdr:row>
      <xdr:rowOff>176092</xdr:rowOff>
    </xdr:to>
    <xdr:sp macro="" textlink="">
      <xdr:nvSpPr>
        <xdr:cNvPr id="287" name="Freccia a destra 286">
          <a:extLst>
            <a:ext uri="{FF2B5EF4-FFF2-40B4-BE49-F238E27FC236}">
              <a16:creationId xmlns:a16="http://schemas.microsoft.com/office/drawing/2014/main" xmlns="" id="{00000000-0008-0000-0100-00001F010000}"/>
            </a:ext>
          </a:extLst>
        </xdr:cNvPr>
        <xdr:cNvSpPr/>
      </xdr:nvSpPr>
      <xdr:spPr>
        <a:xfrm>
          <a:off x="979718" y="11255829"/>
          <a:ext cx="448235" cy="1760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592310</xdr:colOff>
      <xdr:row>57</xdr:row>
      <xdr:rowOff>92209</xdr:rowOff>
    </xdr:from>
    <xdr:to>
      <xdr:col>4</xdr:col>
      <xdr:colOff>195943</xdr:colOff>
      <xdr:row>60</xdr:row>
      <xdr:rowOff>2563</xdr:rowOff>
    </xdr:to>
    <xdr:sp macro="" textlink="">
      <xdr:nvSpPr>
        <xdr:cNvPr id="288" name="Nuvola 287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/>
      </xdr:nvSpPr>
      <xdr:spPr>
        <a:xfrm>
          <a:off x="2421110" y="12273323"/>
          <a:ext cx="213233" cy="465526"/>
        </a:xfrm>
        <a:prstGeom prst="cloud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154957</xdr:colOff>
      <xdr:row>51</xdr:row>
      <xdr:rowOff>11525</xdr:rowOff>
    </xdr:from>
    <xdr:to>
      <xdr:col>12</xdr:col>
      <xdr:colOff>149577</xdr:colOff>
      <xdr:row>60</xdr:row>
      <xdr:rowOff>20938</xdr:rowOff>
    </xdr:to>
    <xdr:sp macro="" textlink="">
      <xdr:nvSpPr>
        <xdr:cNvPr id="289" name="Rettangolo 288">
          <a:extLst>
            <a:ext uri="{FF2B5EF4-FFF2-40B4-BE49-F238E27FC236}">
              <a16:creationId xmlns:a16="http://schemas.microsoft.com/office/drawing/2014/main" xmlns="" id="{00000000-0008-0000-0100-000021010000}"/>
            </a:ext>
          </a:extLst>
        </xdr:cNvPr>
        <xdr:cNvSpPr/>
      </xdr:nvSpPr>
      <xdr:spPr>
        <a:xfrm rot="5400000">
          <a:off x="5214860" y="11008050"/>
          <a:ext cx="1674928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224276</xdr:colOff>
      <xdr:row>51</xdr:row>
      <xdr:rowOff>73404</xdr:rowOff>
    </xdr:from>
    <xdr:to>
      <xdr:col>10</xdr:col>
      <xdr:colOff>394448</xdr:colOff>
      <xdr:row>56</xdr:row>
      <xdr:rowOff>161364</xdr:rowOff>
    </xdr:to>
    <xdr:sp macro="" textlink="">
      <xdr:nvSpPr>
        <xdr:cNvPr id="290" name="Rettangolo 289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/>
      </xdr:nvSpPr>
      <xdr:spPr>
        <a:xfrm>
          <a:off x="5208652" y="10884839"/>
          <a:ext cx="779772" cy="98443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502024</xdr:colOff>
      <xdr:row>51</xdr:row>
      <xdr:rowOff>73404</xdr:rowOff>
    </xdr:from>
    <xdr:to>
      <xdr:col>12</xdr:col>
      <xdr:colOff>47385</xdr:colOff>
      <xdr:row>57</xdr:row>
      <xdr:rowOff>8964</xdr:rowOff>
    </xdr:to>
    <xdr:sp macro="" textlink="">
      <xdr:nvSpPr>
        <xdr:cNvPr id="291" name="Rettangolo 290">
          <a:extLst>
            <a:ext uri="{FF2B5EF4-FFF2-40B4-BE49-F238E27FC236}">
              <a16:creationId xmlns:a16="http://schemas.microsoft.com/office/drawing/2014/main" xmlns="" id="{00000000-0008-0000-0100-000023010000}"/>
            </a:ext>
          </a:extLst>
        </xdr:cNvPr>
        <xdr:cNvSpPr/>
      </xdr:nvSpPr>
      <xdr:spPr>
        <a:xfrm>
          <a:off x="6096000" y="10884839"/>
          <a:ext cx="764561" cy="1011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253572</xdr:colOff>
      <xdr:row>57</xdr:row>
      <xdr:rowOff>2562</xdr:rowOff>
    </xdr:from>
    <xdr:to>
      <xdr:col>12</xdr:col>
      <xdr:colOff>74279</xdr:colOff>
      <xdr:row>59</xdr:row>
      <xdr:rowOff>151761</xdr:rowOff>
    </xdr:to>
    <xdr:sp macro="" textlink="">
      <xdr:nvSpPr>
        <xdr:cNvPr id="292" name="Nuvola 291">
          <a:extLst>
            <a:ext uri="{FF2B5EF4-FFF2-40B4-BE49-F238E27FC236}">
              <a16:creationId xmlns:a16="http://schemas.microsoft.com/office/drawing/2014/main" xmlns="" id="{00000000-0008-0000-0100-000024010000}"/>
            </a:ext>
          </a:extLst>
        </xdr:cNvPr>
        <xdr:cNvSpPr/>
      </xdr:nvSpPr>
      <xdr:spPr>
        <a:xfrm>
          <a:off x="5239229" y="12183676"/>
          <a:ext cx="1649507" cy="519314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8</xdr:col>
      <xdr:colOff>125510</xdr:colOff>
      <xdr:row>52</xdr:row>
      <xdr:rowOff>0</xdr:rowOff>
    </xdr:from>
    <xdr:to>
      <xdr:col>8</xdr:col>
      <xdr:colOff>573745</xdr:colOff>
      <xdr:row>52</xdr:row>
      <xdr:rowOff>170329</xdr:rowOff>
    </xdr:to>
    <xdr:sp macro="" textlink="">
      <xdr:nvSpPr>
        <xdr:cNvPr id="293" name="Freccia a destra 292">
          <a:extLst>
            <a:ext uri="{FF2B5EF4-FFF2-40B4-BE49-F238E27FC236}">
              <a16:creationId xmlns:a16="http://schemas.microsoft.com/office/drawing/2014/main" xmlns="" id="{00000000-0008-0000-0100-000025010000}"/>
            </a:ext>
          </a:extLst>
        </xdr:cNvPr>
        <xdr:cNvSpPr/>
      </xdr:nvSpPr>
      <xdr:spPr>
        <a:xfrm>
          <a:off x="4500286" y="10990729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295832</xdr:colOff>
      <xdr:row>70</xdr:row>
      <xdr:rowOff>0</xdr:rowOff>
    </xdr:from>
    <xdr:to>
      <xdr:col>5</xdr:col>
      <xdr:colOff>496417</xdr:colOff>
      <xdr:row>79</xdr:row>
      <xdr:rowOff>9413</xdr:rowOff>
    </xdr:to>
    <xdr:sp macro="" textlink="">
      <xdr:nvSpPr>
        <xdr:cNvPr id="294" name="Rettangolo 293">
          <a:extLst>
            <a:ext uri="{FF2B5EF4-FFF2-40B4-BE49-F238E27FC236}">
              <a16:creationId xmlns:a16="http://schemas.microsoft.com/office/drawing/2014/main" xmlns="" id="{00000000-0008-0000-0100-000026010000}"/>
            </a:ext>
          </a:extLst>
        </xdr:cNvPr>
        <xdr:cNvSpPr/>
      </xdr:nvSpPr>
      <xdr:spPr>
        <a:xfrm rot="5400000">
          <a:off x="1718195" y="10608272"/>
          <a:ext cx="1623060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116541</xdr:colOff>
      <xdr:row>70</xdr:row>
      <xdr:rowOff>85680</xdr:rowOff>
    </xdr:from>
    <xdr:to>
      <xdr:col>5</xdr:col>
      <xdr:colOff>466476</xdr:colOff>
      <xdr:row>78</xdr:row>
      <xdr:rowOff>146463</xdr:rowOff>
    </xdr:to>
    <xdr:grpSp>
      <xdr:nvGrpSpPr>
        <xdr:cNvPr id="295" name="Gruppo 294">
          <a:extLst>
            <a:ext uri="{FF2B5EF4-FFF2-40B4-BE49-F238E27FC236}">
              <a16:creationId xmlns:a16="http://schemas.microsoft.com/office/drawing/2014/main" xmlns="" id="{00000000-0008-0000-0100-000027010000}"/>
            </a:ext>
          </a:extLst>
        </xdr:cNvPr>
        <xdr:cNvGrpSpPr/>
      </xdr:nvGrpSpPr>
      <xdr:grpSpPr>
        <a:xfrm>
          <a:off x="2537012" y="15617033"/>
          <a:ext cx="955052" cy="1584783"/>
          <a:chOff x="5144018" y="10806434"/>
          <a:chExt cx="861612" cy="1514445"/>
        </a:xfrm>
      </xdr:grpSpPr>
      <xdr:sp macro="" textlink="">
        <xdr:nvSpPr>
          <xdr:cNvPr id="296" name="Rettangolo 295">
            <a:extLst>
              <a:ext uri="{FF2B5EF4-FFF2-40B4-BE49-F238E27FC236}">
                <a16:creationId xmlns:a16="http://schemas.microsoft.com/office/drawing/2014/main" xmlns="" id="{00000000-0008-0000-0100-000028010000}"/>
              </a:ext>
            </a:extLst>
          </xdr:cNvPr>
          <xdr:cNvSpPr/>
        </xdr:nvSpPr>
        <xdr:spPr>
          <a:xfrm>
            <a:off x="5156577" y="11799672"/>
            <a:ext cx="833668" cy="7892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7" name="Rettangolo 296">
            <a:extLst>
              <a:ext uri="{FF2B5EF4-FFF2-40B4-BE49-F238E27FC236}">
                <a16:creationId xmlns:a16="http://schemas.microsoft.com/office/drawing/2014/main" xmlns="" id="{00000000-0008-0000-0100-000029010000}"/>
              </a:ext>
            </a:extLst>
          </xdr:cNvPr>
          <xdr:cNvSpPr/>
        </xdr:nvSpPr>
        <xdr:spPr>
          <a:xfrm>
            <a:off x="5144960" y="10806434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8" name="Rettangolo 297">
            <a:extLst>
              <a:ext uri="{FF2B5EF4-FFF2-40B4-BE49-F238E27FC236}">
                <a16:creationId xmlns:a16="http://schemas.microsoft.com/office/drawing/2014/main" xmlns="" id="{00000000-0008-0000-0100-00002A010000}"/>
              </a:ext>
            </a:extLst>
          </xdr:cNvPr>
          <xdr:cNvSpPr/>
        </xdr:nvSpPr>
        <xdr:spPr>
          <a:xfrm>
            <a:off x="5144960" y="10888466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9" name="Rettangolo 298">
            <a:extLst>
              <a:ext uri="{FF2B5EF4-FFF2-40B4-BE49-F238E27FC236}">
                <a16:creationId xmlns:a16="http://schemas.microsoft.com/office/drawing/2014/main" xmlns="" id="{00000000-0008-0000-0100-00002B010000}"/>
              </a:ext>
            </a:extLst>
          </xdr:cNvPr>
          <xdr:cNvSpPr/>
        </xdr:nvSpPr>
        <xdr:spPr>
          <a:xfrm>
            <a:off x="5147158" y="10975402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0" name="Rettangolo 299">
            <a:extLst>
              <a:ext uri="{FF2B5EF4-FFF2-40B4-BE49-F238E27FC236}">
                <a16:creationId xmlns:a16="http://schemas.microsoft.com/office/drawing/2014/main" xmlns="" id="{00000000-0008-0000-0100-00002C010000}"/>
              </a:ext>
            </a:extLst>
          </xdr:cNvPr>
          <xdr:cNvSpPr/>
        </xdr:nvSpPr>
        <xdr:spPr>
          <a:xfrm>
            <a:off x="5153439" y="11060792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1" name="Rettangolo 300">
            <a:extLst>
              <a:ext uri="{FF2B5EF4-FFF2-40B4-BE49-F238E27FC236}">
                <a16:creationId xmlns:a16="http://schemas.microsoft.com/office/drawing/2014/main" xmlns="" id="{00000000-0008-0000-0100-00002D010000}"/>
              </a:ext>
            </a:extLst>
          </xdr:cNvPr>
          <xdr:cNvSpPr/>
        </xdr:nvSpPr>
        <xdr:spPr>
          <a:xfrm>
            <a:off x="5153438" y="11144797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2" name="Rettangolo 301">
            <a:extLst>
              <a:ext uri="{FF2B5EF4-FFF2-40B4-BE49-F238E27FC236}">
                <a16:creationId xmlns:a16="http://schemas.microsoft.com/office/drawing/2014/main" xmlns="" id="{00000000-0008-0000-0100-00002E010000}"/>
              </a:ext>
            </a:extLst>
          </xdr:cNvPr>
          <xdr:cNvSpPr/>
        </xdr:nvSpPr>
        <xdr:spPr>
          <a:xfrm>
            <a:off x="5147158" y="11235267"/>
            <a:ext cx="833668" cy="8491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3" name="Rettangolo 302">
            <a:extLst>
              <a:ext uri="{FF2B5EF4-FFF2-40B4-BE49-F238E27FC236}">
                <a16:creationId xmlns:a16="http://schemas.microsoft.com/office/drawing/2014/main" xmlns="" id="{00000000-0008-0000-0100-00002F010000}"/>
              </a:ext>
            </a:extLst>
          </xdr:cNvPr>
          <xdr:cNvSpPr/>
        </xdr:nvSpPr>
        <xdr:spPr>
          <a:xfrm>
            <a:off x="5156577" y="1132775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4" name="Rettangolo 303">
            <a:extLst>
              <a:ext uri="{FF2B5EF4-FFF2-40B4-BE49-F238E27FC236}">
                <a16:creationId xmlns:a16="http://schemas.microsoft.com/office/drawing/2014/main" xmlns="" id="{00000000-0008-0000-0100-000030010000}"/>
              </a:ext>
            </a:extLst>
          </xdr:cNvPr>
          <xdr:cNvSpPr/>
        </xdr:nvSpPr>
        <xdr:spPr>
          <a:xfrm>
            <a:off x="5150297" y="11606851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5" name="Rettangolo 304">
            <a:extLst>
              <a:ext uri="{FF2B5EF4-FFF2-40B4-BE49-F238E27FC236}">
                <a16:creationId xmlns:a16="http://schemas.microsoft.com/office/drawing/2014/main" xmlns="" id="{00000000-0008-0000-0100-000031010000}"/>
              </a:ext>
            </a:extLst>
          </xdr:cNvPr>
          <xdr:cNvSpPr/>
        </xdr:nvSpPr>
        <xdr:spPr>
          <a:xfrm>
            <a:off x="5144018" y="11511283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6" name="Rettangolo 305">
            <a:extLst>
              <a:ext uri="{FF2B5EF4-FFF2-40B4-BE49-F238E27FC236}">
                <a16:creationId xmlns:a16="http://schemas.microsoft.com/office/drawing/2014/main" xmlns="" id="{00000000-0008-0000-0100-000032010000}"/>
              </a:ext>
            </a:extLst>
          </xdr:cNvPr>
          <xdr:cNvSpPr/>
        </xdr:nvSpPr>
        <xdr:spPr>
          <a:xfrm>
            <a:off x="5153438" y="11417105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7" name="Rettangolo 306">
            <a:extLst>
              <a:ext uri="{FF2B5EF4-FFF2-40B4-BE49-F238E27FC236}">
                <a16:creationId xmlns:a16="http://schemas.microsoft.com/office/drawing/2014/main" xmlns="" id="{00000000-0008-0000-0100-000033010000}"/>
              </a:ext>
            </a:extLst>
          </xdr:cNvPr>
          <xdr:cNvSpPr/>
        </xdr:nvSpPr>
        <xdr:spPr>
          <a:xfrm>
            <a:off x="5153438" y="11703304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8" name="Rettangolo 307">
            <a:extLst>
              <a:ext uri="{FF2B5EF4-FFF2-40B4-BE49-F238E27FC236}">
                <a16:creationId xmlns:a16="http://schemas.microsoft.com/office/drawing/2014/main" xmlns="" id="{00000000-0008-0000-0100-000034010000}"/>
              </a:ext>
            </a:extLst>
          </xdr:cNvPr>
          <xdr:cNvSpPr/>
        </xdr:nvSpPr>
        <xdr:spPr>
          <a:xfrm>
            <a:off x="5163484" y="11888515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09" name="Rettangolo 308">
            <a:extLst>
              <a:ext uri="{FF2B5EF4-FFF2-40B4-BE49-F238E27FC236}">
                <a16:creationId xmlns:a16="http://schemas.microsoft.com/office/drawing/2014/main" xmlns="" id="{00000000-0008-0000-0100-000035010000}"/>
              </a:ext>
            </a:extLst>
          </xdr:cNvPr>
          <xdr:cNvSpPr/>
        </xdr:nvSpPr>
        <xdr:spPr>
          <a:xfrm>
            <a:off x="5163484" y="1198040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0" name="Rettangolo 309">
            <a:extLst>
              <a:ext uri="{FF2B5EF4-FFF2-40B4-BE49-F238E27FC236}">
                <a16:creationId xmlns:a16="http://schemas.microsoft.com/office/drawing/2014/main" xmlns="" id="{00000000-0008-0000-0100-000036010000}"/>
              </a:ext>
            </a:extLst>
          </xdr:cNvPr>
          <xdr:cNvSpPr/>
        </xdr:nvSpPr>
        <xdr:spPr>
          <a:xfrm>
            <a:off x="5165681" y="12065940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1" name="Rettangolo 310">
            <a:extLst>
              <a:ext uri="{FF2B5EF4-FFF2-40B4-BE49-F238E27FC236}">
                <a16:creationId xmlns:a16="http://schemas.microsoft.com/office/drawing/2014/main" xmlns="" id="{00000000-0008-0000-0100-000037010000}"/>
              </a:ext>
            </a:extLst>
          </xdr:cNvPr>
          <xdr:cNvSpPr/>
        </xdr:nvSpPr>
        <xdr:spPr>
          <a:xfrm>
            <a:off x="5171962" y="12151326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2" name="Rettangolo 311">
            <a:extLst>
              <a:ext uri="{FF2B5EF4-FFF2-40B4-BE49-F238E27FC236}">
                <a16:creationId xmlns:a16="http://schemas.microsoft.com/office/drawing/2014/main" xmlns="" id="{00000000-0008-0000-0100-000038010000}"/>
              </a:ext>
            </a:extLst>
          </xdr:cNvPr>
          <xdr:cNvSpPr/>
        </xdr:nvSpPr>
        <xdr:spPr>
          <a:xfrm>
            <a:off x="5171961" y="12236690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2</xdr:col>
      <xdr:colOff>319971</xdr:colOff>
      <xdr:row>70</xdr:row>
      <xdr:rowOff>79819</xdr:rowOff>
    </xdr:from>
    <xdr:to>
      <xdr:col>4</xdr:col>
      <xdr:colOff>89646</xdr:colOff>
      <xdr:row>78</xdr:row>
      <xdr:rowOff>140602</xdr:rowOff>
    </xdr:to>
    <xdr:grpSp>
      <xdr:nvGrpSpPr>
        <xdr:cNvPr id="315" name="Gruppo 314">
          <a:extLst>
            <a:ext uri="{FF2B5EF4-FFF2-40B4-BE49-F238E27FC236}">
              <a16:creationId xmlns:a16="http://schemas.microsoft.com/office/drawing/2014/main" xmlns="" id="{00000000-0008-0000-0100-00003B010000}"/>
            </a:ext>
          </a:extLst>
        </xdr:cNvPr>
        <xdr:cNvGrpSpPr/>
      </xdr:nvGrpSpPr>
      <xdr:grpSpPr>
        <a:xfrm>
          <a:off x="1530206" y="15611172"/>
          <a:ext cx="979911" cy="1584783"/>
          <a:chOff x="5144018" y="10806434"/>
          <a:chExt cx="861612" cy="1514445"/>
        </a:xfrm>
      </xdr:grpSpPr>
      <xdr:sp macro="" textlink="">
        <xdr:nvSpPr>
          <xdr:cNvPr id="316" name="Rettangolo 315">
            <a:extLst>
              <a:ext uri="{FF2B5EF4-FFF2-40B4-BE49-F238E27FC236}">
                <a16:creationId xmlns:a16="http://schemas.microsoft.com/office/drawing/2014/main" xmlns="" id="{00000000-0008-0000-0100-00003C010000}"/>
              </a:ext>
            </a:extLst>
          </xdr:cNvPr>
          <xdr:cNvSpPr/>
        </xdr:nvSpPr>
        <xdr:spPr>
          <a:xfrm>
            <a:off x="5156577" y="11799672"/>
            <a:ext cx="833668" cy="7892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7" name="Rettangolo 316">
            <a:extLst>
              <a:ext uri="{FF2B5EF4-FFF2-40B4-BE49-F238E27FC236}">
                <a16:creationId xmlns:a16="http://schemas.microsoft.com/office/drawing/2014/main" xmlns="" id="{00000000-0008-0000-0100-00003D010000}"/>
              </a:ext>
            </a:extLst>
          </xdr:cNvPr>
          <xdr:cNvSpPr/>
        </xdr:nvSpPr>
        <xdr:spPr>
          <a:xfrm>
            <a:off x="5144960" y="10806434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8" name="Rettangolo 317">
            <a:extLst>
              <a:ext uri="{FF2B5EF4-FFF2-40B4-BE49-F238E27FC236}">
                <a16:creationId xmlns:a16="http://schemas.microsoft.com/office/drawing/2014/main" xmlns="" id="{00000000-0008-0000-0100-00003E010000}"/>
              </a:ext>
            </a:extLst>
          </xdr:cNvPr>
          <xdr:cNvSpPr/>
        </xdr:nvSpPr>
        <xdr:spPr>
          <a:xfrm>
            <a:off x="5144960" y="10888466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9" name="Rettangolo 318">
            <a:extLst>
              <a:ext uri="{FF2B5EF4-FFF2-40B4-BE49-F238E27FC236}">
                <a16:creationId xmlns:a16="http://schemas.microsoft.com/office/drawing/2014/main" xmlns="" id="{00000000-0008-0000-0100-00003F010000}"/>
              </a:ext>
            </a:extLst>
          </xdr:cNvPr>
          <xdr:cNvSpPr/>
        </xdr:nvSpPr>
        <xdr:spPr>
          <a:xfrm>
            <a:off x="5147158" y="10975402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0" name="Rettangolo 319">
            <a:extLst>
              <a:ext uri="{FF2B5EF4-FFF2-40B4-BE49-F238E27FC236}">
                <a16:creationId xmlns:a16="http://schemas.microsoft.com/office/drawing/2014/main" xmlns="" id="{00000000-0008-0000-0100-000040010000}"/>
              </a:ext>
            </a:extLst>
          </xdr:cNvPr>
          <xdr:cNvSpPr/>
        </xdr:nvSpPr>
        <xdr:spPr>
          <a:xfrm>
            <a:off x="5153439" y="11060792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1" name="Rettangolo 320">
            <a:extLst>
              <a:ext uri="{FF2B5EF4-FFF2-40B4-BE49-F238E27FC236}">
                <a16:creationId xmlns:a16="http://schemas.microsoft.com/office/drawing/2014/main" xmlns="" id="{00000000-0008-0000-0100-000041010000}"/>
              </a:ext>
            </a:extLst>
          </xdr:cNvPr>
          <xdr:cNvSpPr/>
        </xdr:nvSpPr>
        <xdr:spPr>
          <a:xfrm>
            <a:off x="5153438" y="11144797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2" name="Rettangolo 321">
            <a:extLst>
              <a:ext uri="{FF2B5EF4-FFF2-40B4-BE49-F238E27FC236}">
                <a16:creationId xmlns:a16="http://schemas.microsoft.com/office/drawing/2014/main" xmlns="" id="{00000000-0008-0000-0100-000042010000}"/>
              </a:ext>
            </a:extLst>
          </xdr:cNvPr>
          <xdr:cNvSpPr/>
        </xdr:nvSpPr>
        <xdr:spPr>
          <a:xfrm>
            <a:off x="5147158" y="11235267"/>
            <a:ext cx="833668" cy="84917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3" name="Rettangolo 322">
            <a:extLst>
              <a:ext uri="{FF2B5EF4-FFF2-40B4-BE49-F238E27FC236}">
                <a16:creationId xmlns:a16="http://schemas.microsoft.com/office/drawing/2014/main" xmlns="" id="{00000000-0008-0000-0100-000043010000}"/>
              </a:ext>
            </a:extLst>
          </xdr:cNvPr>
          <xdr:cNvSpPr/>
        </xdr:nvSpPr>
        <xdr:spPr>
          <a:xfrm>
            <a:off x="5156577" y="1132775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4" name="Rettangolo 323">
            <a:extLst>
              <a:ext uri="{FF2B5EF4-FFF2-40B4-BE49-F238E27FC236}">
                <a16:creationId xmlns:a16="http://schemas.microsoft.com/office/drawing/2014/main" xmlns="" id="{00000000-0008-0000-0100-000044010000}"/>
              </a:ext>
            </a:extLst>
          </xdr:cNvPr>
          <xdr:cNvSpPr/>
        </xdr:nvSpPr>
        <xdr:spPr>
          <a:xfrm>
            <a:off x="5150297" y="11606851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5" name="Rettangolo 324">
            <a:extLst>
              <a:ext uri="{FF2B5EF4-FFF2-40B4-BE49-F238E27FC236}">
                <a16:creationId xmlns:a16="http://schemas.microsoft.com/office/drawing/2014/main" xmlns="" id="{00000000-0008-0000-0100-000045010000}"/>
              </a:ext>
            </a:extLst>
          </xdr:cNvPr>
          <xdr:cNvSpPr/>
        </xdr:nvSpPr>
        <xdr:spPr>
          <a:xfrm>
            <a:off x="5144018" y="11511283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6" name="Rettangolo 325">
            <a:extLst>
              <a:ext uri="{FF2B5EF4-FFF2-40B4-BE49-F238E27FC236}">
                <a16:creationId xmlns:a16="http://schemas.microsoft.com/office/drawing/2014/main" xmlns="" id="{00000000-0008-0000-0100-000046010000}"/>
              </a:ext>
            </a:extLst>
          </xdr:cNvPr>
          <xdr:cNvSpPr/>
        </xdr:nvSpPr>
        <xdr:spPr>
          <a:xfrm>
            <a:off x="5153438" y="11417105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7" name="Rettangolo 326">
            <a:extLst>
              <a:ext uri="{FF2B5EF4-FFF2-40B4-BE49-F238E27FC236}">
                <a16:creationId xmlns:a16="http://schemas.microsoft.com/office/drawing/2014/main" xmlns="" id="{00000000-0008-0000-0100-000047010000}"/>
              </a:ext>
            </a:extLst>
          </xdr:cNvPr>
          <xdr:cNvSpPr/>
        </xdr:nvSpPr>
        <xdr:spPr>
          <a:xfrm>
            <a:off x="5153438" y="11703304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8" name="Rettangolo 327">
            <a:extLst>
              <a:ext uri="{FF2B5EF4-FFF2-40B4-BE49-F238E27FC236}">
                <a16:creationId xmlns:a16="http://schemas.microsoft.com/office/drawing/2014/main" xmlns="" id="{00000000-0008-0000-0100-000048010000}"/>
              </a:ext>
            </a:extLst>
          </xdr:cNvPr>
          <xdr:cNvSpPr/>
        </xdr:nvSpPr>
        <xdr:spPr>
          <a:xfrm>
            <a:off x="5163484" y="11888515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29" name="Rettangolo 328">
            <a:extLst>
              <a:ext uri="{FF2B5EF4-FFF2-40B4-BE49-F238E27FC236}">
                <a16:creationId xmlns:a16="http://schemas.microsoft.com/office/drawing/2014/main" xmlns="" id="{00000000-0008-0000-0100-000049010000}"/>
              </a:ext>
            </a:extLst>
          </xdr:cNvPr>
          <xdr:cNvSpPr/>
        </xdr:nvSpPr>
        <xdr:spPr>
          <a:xfrm>
            <a:off x="5163484" y="11980403"/>
            <a:ext cx="833668" cy="866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30" name="Rettangolo 329">
            <a:extLst>
              <a:ext uri="{FF2B5EF4-FFF2-40B4-BE49-F238E27FC236}">
                <a16:creationId xmlns:a16="http://schemas.microsoft.com/office/drawing/2014/main" xmlns="" id="{00000000-0008-0000-0100-00004A010000}"/>
              </a:ext>
            </a:extLst>
          </xdr:cNvPr>
          <xdr:cNvSpPr/>
        </xdr:nvSpPr>
        <xdr:spPr>
          <a:xfrm>
            <a:off x="5165681" y="12065940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31" name="Rettangolo 330">
            <a:extLst>
              <a:ext uri="{FF2B5EF4-FFF2-40B4-BE49-F238E27FC236}">
                <a16:creationId xmlns:a16="http://schemas.microsoft.com/office/drawing/2014/main" xmlns="" id="{00000000-0008-0000-0100-00004B010000}"/>
              </a:ext>
            </a:extLst>
          </xdr:cNvPr>
          <xdr:cNvSpPr/>
        </xdr:nvSpPr>
        <xdr:spPr>
          <a:xfrm>
            <a:off x="5171962" y="12151326"/>
            <a:ext cx="833668" cy="8596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32" name="Rettangolo 331">
            <a:extLst>
              <a:ext uri="{FF2B5EF4-FFF2-40B4-BE49-F238E27FC236}">
                <a16:creationId xmlns:a16="http://schemas.microsoft.com/office/drawing/2014/main" xmlns="" id="{00000000-0008-0000-0100-00004C010000}"/>
              </a:ext>
            </a:extLst>
          </xdr:cNvPr>
          <xdr:cNvSpPr/>
        </xdr:nvSpPr>
        <xdr:spPr>
          <a:xfrm>
            <a:off x="5171961" y="12236690"/>
            <a:ext cx="833668" cy="84189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370118</xdr:colOff>
      <xdr:row>71</xdr:row>
      <xdr:rowOff>0</xdr:rowOff>
    </xdr:from>
    <xdr:to>
      <xdr:col>2</xdr:col>
      <xdr:colOff>208753</xdr:colOff>
      <xdr:row>71</xdr:row>
      <xdr:rowOff>176092</xdr:rowOff>
    </xdr:to>
    <xdr:sp macro="" textlink="">
      <xdr:nvSpPr>
        <xdr:cNvPr id="333" name="Freccia a destra 332">
          <a:extLst>
            <a:ext uri="{FF2B5EF4-FFF2-40B4-BE49-F238E27FC236}">
              <a16:creationId xmlns:a16="http://schemas.microsoft.com/office/drawing/2014/main" xmlns="" id="{00000000-0008-0000-0100-00004D010000}"/>
            </a:ext>
          </a:extLst>
        </xdr:cNvPr>
        <xdr:cNvSpPr/>
      </xdr:nvSpPr>
      <xdr:spPr>
        <a:xfrm>
          <a:off x="979718" y="10990729"/>
          <a:ext cx="448235" cy="1760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154957</xdr:colOff>
      <xdr:row>70</xdr:row>
      <xdr:rowOff>11525</xdr:rowOff>
    </xdr:from>
    <xdr:to>
      <xdr:col>12</xdr:col>
      <xdr:colOff>149577</xdr:colOff>
      <xdr:row>79</xdr:row>
      <xdr:rowOff>20938</xdr:rowOff>
    </xdr:to>
    <xdr:sp macro="" textlink="">
      <xdr:nvSpPr>
        <xdr:cNvPr id="335" name="Rettangolo 334">
          <a:extLst>
            <a:ext uri="{FF2B5EF4-FFF2-40B4-BE49-F238E27FC236}">
              <a16:creationId xmlns:a16="http://schemas.microsoft.com/office/drawing/2014/main" xmlns="" id="{00000000-0008-0000-0100-00004F010000}"/>
            </a:ext>
          </a:extLst>
        </xdr:cNvPr>
        <xdr:cNvSpPr/>
      </xdr:nvSpPr>
      <xdr:spPr>
        <a:xfrm rot="5400000">
          <a:off x="5239513" y="10722780"/>
          <a:ext cx="1623060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224276</xdr:colOff>
      <xdr:row>70</xdr:row>
      <xdr:rowOff>73405</xdr:rowOff>
    </xdr:from>
    <xdr:to>
      <xdr:col>10</xdr:col>
      <xdr:colOff>430306</xdr:colOff>
      <xdr:row>76</xdr:row>
      <xdr:rowOff>98612</xdr:rowOff>
    </xdr:to>
    <xdr:sp macro="" textlink="">
      <xdr:nvSpPr>
        <xdr:cNvPr id="336" name="Rettangolo 335">
          <a:extLst>
            <a:ext uri="{FF2B5EF4-FFF2-40B4-BE49-F238E27FC236}">
              <a16:creationId xmlns:a16="http://schemas.microsoft.com/office/drawing/2014/main" xmlns="" id="{00000000-0008-0000-0100-000050010000}"/>
            </a:ext>
          </a:extLst>
        </xdr:cNvPr>
        <xdr:cNvSpPr/>
      </xdr:nvSpPr>
      <xdr:spPr>
        <a:xfrm>
          <a:off x="5208652" y="14847240"/>
          <a:ext cx="815630" cy="1100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475130</xdr:colOff>
      <xdr:row>70</xdr:row>
      <xdr:rowOff>73405</xdr:rowOff>
    </xdr:from>
    <xdr:to>
      <xdr:col>12</xdr:col>
      <xdr:colOff>47385</xdr:colOff>
      <xdr:row>76</xdr:row>
      <xdr:rowOff>98612</xdr:rowOff>
    </xdr:to>
    <xdr:sp macro="" textlink="">
      <xdr:nvSpPr>
        <xdr:cNvPr id="337" name="Rettangolo 336">
          <a:extLst>
            <a:ext uri="{FF2B5EF4-FFF2-40B4-BE49-F238E27FC236}">
              <a16:creationId xmlns:a16="http://schemas.microsoft.com/office/drawing/2014/main" xmlns="" id="{00000000-0008-0000-0100-000051010000}"/>
            </a:ext>
          </a:extLst>
        </xdr:cNvPr>
        <xdr:cNvSpPr/>
      </xdr:nvSpPr>
      <xdr:spPr>
        <a:xfrm>
          <a:off x="6069106" y="14847240"/>
          <a:ext cx="791455" cy="1100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253572</xdr:colOff>
      <xdr:row>77</xdr:row>
      <xdr:rowOff>17930</xdr:rowOff>
    </xdr:from>
    <xdr:to>
      <xdr:col>12</xdr:col>
      <xdr:colOff>74279</xdr:colOff>
      <xdr:row>78</xdr:row>
      <xdr:rowOff>151761</xdr:rowOff>
    </xdr:to>
    <xdr:sp macro="" textlink="">
      <xdr:nvSpPr>
        <xdr:cNvPr id="338" name="Nuvola 337">
          <a:extLst>
            <a:ext uri="{FF2B5EF4-FFF2-40B4-BE49-F238E27FC236}">
              <a16:creationId xmlns:a16="http://schemas.microsoft.com/office/drawing/2014/main" xmlns="" id="{00000000-0008-0000-0100-000052010000}"/>
            </a:ext>
          </a:extLst>
        </xdr:cNvPr>
        <xdr:cNvSpPr/>
      </xdr:nvSpPr>
      <xdr:spPr>
        <a:xfrm>
          <a:off x="5237948" y="16046824"/>
          <a:ext cx="1649507" cy="313125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8</xdr:col>
      <xdr:colOff>125510</xdr:colOff>
      <xdr:row>71</xdr:row>
      <xdr:rowOff>0</xdr:rowOff>
    </xdr:from>
    <xdr:to>
      <xdr:col>8</xdr:col>
      <xdr:colOff>573745</xdr:colOff>
      <xdr:row>71</xdr:row>
      <xdr:rowOff>170329</xdr:rowOff>
    </xdr:to>
    <xdr:sp macro="" textlink="">
      <xdr:nvSpPr>
        <xdr:cNvPr id="339" name="Freccia a destra 338">
          <a:extLst>
            <a:ext uri="{FF2B5EF4-FFF2-40B4-BE49-F238E27FC236}">
              <a16:creationId xmlns:a16="http://schemas.microsoft.com/office/drawing/2014/main" xmlns="" id="{00000000-0008-0000-0100-000053010000}"/>
            </a:ext>
          </a:extLst>
        </xdr:cNvPr>
        <xdr:cNvSpPr/>
      </xdr:nvSpPr>
      <xdr:spPr>
        <a:xfrm>
          <a:off x="4500286" y="10990729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502024</xdr:colOff>
      <xdr:row>5</xdr:row>
      <xdr:rowOff>17929</xdr:rowOff>
    </xdr:from>
    <xdr:to>
      <xdr:col>2</xdr:col>
      <xdr:colOff>340659</xdr:colOff>
      <xdr:row>6</xdr:row>
      <xdr:rowOff>8964</xdr:rowOff>
    </xdr:to>
    <xdr:sp macro="" textlink="">
      <xdr:nvSpPr>
        <xdr:cNvPr id="62" name="Freccia a destra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/>
      </xdr:nvSpPr>
      <xdr:spPr>
        <a:xfrm>
          <a:off x="1111624" y="1480969"/>
          <a:ext cx="448235" cy="1739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233085</xdr:colOff>
      <xdr:row>5</xdr:row>
      <xdr:rowOff>26894</xdr:rowOff>
    </xdr:from>
    <xdr:to>
      <xdr:col>9</xdr:col>
      <xdr:colOff>71720</xdr:colOff>
      <xdr:row>6</xdr:row>
      <xdr:rowOff>17929</xdr:rowOff>
    </xdr:to>
    <xdr:sp macro="" textlink="">
      <xdr:nvSpPr>
        <xdr:cNvPr id="63" name="Freccia a destra 6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/>
      </xdr:nvSpPr>
      <xdr:spPr>
        <a:xfrm>
          <a:off x="4606965" y="1489934"/>
          <a:ext cx="448235" cy="1739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122404</xdr:colOff>
      <xdr:row>14</xdr:row>
      <xdr:rowOff>65510</xdr:rowOff>
    </xdr:from>
    <xdr:to>
      <xdr:col>4</xdr:col>
      <xdr:colOff>292733</xdr:colOff>
      <xdr:row>16</xdr:row>
      <xdr:rowOff>157570</xdr:rowOff>
    </xdr:to>
    <xdr:sp macro="" textlink="">
      <xdr:nvSpPr>
        <xdr:cNvPr id="65" name="Freccia a destra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/>
      </xdr:nvSpPr>
      <xdr:spPr>
        <a:xfrm rot="16200000">
          <a:off x="2418231" y="3302975"/>
          <a:ext cx="455476" cy="17032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292473</xdr:colOff>
      <xdr:row>28</xdr:row>
      <xdr:rowOff>62526</xdr:rowOff>
    </xdr:from>
    <xdr:to>
      <xdr:col>5</xdr:col>
      <xdr:colOff>493058</xdr:colOff>
      <xdr:row>37</xdr:row>
      <xdr:rowOff>71939</xdr:rowOff>
    </xdr:to>
    <xdr:sp macro="" textlink="">
      <xdr:nvSpPr>
        <xdr:cNvPr id="66" name="Rettangolo 65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/>
      </xdr:nvSpPr>
      <xdr:spPr>
        <a:xfrm rot="5400000">
          <a:off x="1698699" y="6093420"/>
          <a:ext cx="1655333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367553</xdr:colOff>
      <xdr:row>29</xdr:row>
      <xdr:rowOff>26894</xdr:rowOff>
    </xdr:from>
    <xdr:to>
      <xdr:col>2</xdr:col>
      <xdr:colOff>206188</xdr:colOff>
      <xdr:row>30</xdr:row>
      <xdr:rowOff>17929</xdr:rowOff>
    </xdr:to>
    <xdr:sp macro="" textlink="">
      <xdr:nvSpPr>
        <xdr:cNvPr id="86" name="Freccia a destra 85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/>
      </xdr:nvSpPr>
      <xdr:spPr>
        <a:xfrm>
          <a:off x="977153" y="6427694"/>
          <a:ext cx="448235" cy="1739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233085</xdr:colOff>
      <xdr:row>29</xdr:row>
      <xdr:rowOff>26894</xdr:rowOff>
    </xdr:from>
    <xdr:to>
      <xdr:col>9</xdr:col>
      <xdr:colOff>71720</xdr:colOff>
      <xdr:row>30</xdr:row>
      <xdr:rowOff>17929</xdr:rowOff>
    </xdr:to>
    <xdr:sp macro="" textlink="">
      <xdr:nvSpPr>
        <xdr:cNvPr id="87" name="Freccia a destra 86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/>
      </xdr:nvSpPr>
      <xdr:spPr>
        <a:xfrm>
          <a:off x="4606965" y="6427694"/>
          <a:ext cx="448235" cy="1739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134467</xdr:colOff>
      <xdr:row>28</xdr:row>
      <xdr:rowOff>62751</xdr:rowOff>
    </xdr:from>
    <xdr:to>
      <xdr:col>12</xdr:col>
      <xdr:colOff>129087</xdr:colOff>
      <xdr:row>37</xdr:row>
      <xdr:rowOff>72164</xdr:rowOff>
    </xdr:to>
    <xdr:sp macro="" textlink="">
      <xdr:nvSpPr>
        <xdr:cNvPr id="111" name="Rettangolo 110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/>
      </xdr:nvSpPr>
      <xdr:spPr>
        <a:xfrm rot="5400000">
          <a:off x="5206094" y="6163217"/>
          <a:ext cx="1644782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203786</xdr:colOff>
      <xdr:row>28</xdr:row>
      <xdr:rowOff>124631</xdr:rowOff>
    </xdr:from>
    <xdr:to>
      <xdr:col>10</xdr:col>
      <xdr:colOff>451338</xdr:colOff>
      <xdr:row>35</xdr:row>
      <xdr:rowOff>41031</xdr:rowOff>
    </xdr:to>
    <xdr:sp macro="" textlink="">
      <xdr:nvSpPr>
        <xdr:cNvPr id="112" name="Rettangolo 11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/>
      </xdr:nvSpPr>
      <xdr:spPr>
        <a:xfrm>
          <a:off x="5186094" y="6314416"/>
          <a:ext cx="857152" cy="11883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474784</xdr:colOff>
      <xdr:row>28</xdr:row>
      <xdr:rowOff>124631</xdr:rowOff>
    </xdr:from>
    <xdr:to>
      <xdr:col>12</xdr:col>
      <xdr:colOff>82061</xdr:colOff>
      <xdr:row>35</xdr:row>
      <xdr:rowOff>41031</xdr:rowOff>
    </xdr:to>
    <xdr:sp macro="" textlink="">
      <xdr:nvSpPr>
        <xdr:cNvPr id="113" name="Rettangolo 112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/>
      </xdr:nvSpPr>
      <xdr:spPr>
        <a:xfrm>
          <a:off x="6066692" y="6314416"/>
          <a:ext cx="826477" cy="11883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11723</xdr:colOff>
      <xdr:row>35</xdr:row>
      <xdr:rowOff>134816</xdr:rowOff>
    </xdr:from>
    <xdr:to>
      <xdr:col>11</xdr:col>
      <xdr:colOff>474784</xdr:colOff>
      <xdr:row>37</xdr:row>
      <xdr:rowOff>17930</xdr:rowOff>
    </xdr:to>
    <xdr:sp macro="" textlink="">
      <xdr:nvSpPr>
        <xdr:cNvPr id="114" name="Nuvola 11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/>
      </xdr:nvSpPr>
      <xdr:spPr>
        <a:xfrm>
          <a:off x="5603631" y="7596554"/>
          <a:ext cx="1072661" cy="246530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2</xdr:col>
      <xdr:colOff>295832</xdr:colOff>
      <xdr:row>51</xdr:row>
      <xdr:rowOff>0</xdr:rowOff>
    </xdr:from>
    <xdr:to>
      <xdr:col>5</xdr:col>
      <xdr:colOff>496417</xdr:colOff>
      <xdr:row>60</xdr:row>
      <xdr:rowOff>9413</xdr:rowOff>
    </xdr:to>
    <xdr:sp macro="" textlink="">
      <xdr:nvSpPr>
        <xdr:cNvPr id="116" name="Rettangolo 115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/>
      </xdr:nvSpPr>
      <xdr:spPr>
        <a:xfrm rot="5400000">
          <a:off x="1702058" y="10785774"/>
          <a:ext cx="1655333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316523</xdr:colOff>
      <xdr:row>51</xdr:row>
      <xdr:rowOff>46806</xdr:rowOff>
    </xdr:from>
    <xdr:to>
      <xdr:col>2</xdr:col>
      <xdr:colOff>451338</xdr:colOff>
      <xdr:row>59</xdr:row>
      <xdr:rowOff>152399</xdr:rowOff>
    </xdr:to>
    <xdr:sp macro="" textlink="">
      <xdr:nvSpPr>
        <xdr:cNvPr id="135" name="Rettangolo 134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/>
      </xdr:nvSpPr>
      <xdr:spPr>
        <a:xfrm>
          <a:off x="1535723" y="10966852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370118</xdr:colOff>
      <xdr:row>52</xdr:row>
      <xdr:rowOff>0</xdr:rowOff>
    </xdr:from>
    <xdr:to>
      <xdr:col>2</xdr:col>
      <xdr:colOff>208753</xdr:colOff>
      <xdr:row>52</xdr:row>
      <xdr:rowOff>176092</xdr:rowOff>
    </xdr:to>
    <xdr:sp macro="" textlink="">
      <xdr:nvSpPr>
        <xdr:cNvPr id="155" name="Freccia a destra 154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/>
      </xdr:nvSpPr>
      <xdr:spPr>
        <a:xfrm>
          <a:off x="979718" y="11155680"/>
          <a:ext cx="448235" cy="17609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154957</xdr:colOff>
      <xdr:row>51</xdr:row>
      <xdr:rowOff>11525</xdr:rowOff>
    </xdr:from>
    <xdr:to>
      <xdr:col>12</xdr:col>
      <xdr:colOff>149577</xdr:colOff>
      <xdr:row>60</xdr:row>
      <xdr:rowOff>20938</xdr:rowOff>
    </xdr:to>
    <xdr:sp macro="" textlink="">
      <xdr:nvSpPr>
        <xdr:cNvPr id="157" name="Rettangolo 156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/>
      </xdr:nvSpPr>
      <xdr:spPr>
        <a:xfrm rot="5400000">
          <a:off x="5222480" y="10900282"/>
          <a:ext cx="1655333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224275</xdr:colOff>
      <xdr:row>51</xdr:row>
      <xdr:rowOff>73404</xdr:rowOff>
    </xdr:from>
    <xdr:to>
      <xdr:col>12</xdr:col>
      <xdr:colOff>11722</xdr:colOff>
      <xdr:row>58</xdr:row>
      <xdr:rowOff>17585</xdr:rowOff>
    </xdr:to>
    <xdr:sp macro="" textlink="">
      <xdr:nvSpPr>
        <xdr:cNvPr id="158" name="Rettangolo 157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SpPr/>
      </xdr:nvSpPr>
      <xdr:spPr>
        <a:xfrm>
          <a:off x="5206583" y="10993450"/>
          <a:ext cx="1616247" cy="12161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253572</xdr:colOff>
      <xdr:row>58</xdr:row>
      <xdr:rowOff>52754</xdr:rowOff>
    </xdr:from>
    <xdr:to>
      <xdr:col>12</xdr:col>
      <xdr:colOff>74279</xdr:colOff>
      <xdr:row>59</xdr:row>
      <xdr:rowOff>151761</xdr:rowOff>
    </xdr:to>
    <xdr:sp macro="" textlink="">
      <xdr:nvSpPr>
        <xdr:cNvPr id="160" name="Nuvola 159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/>
      </xdr:nvSpPr>
      <xdr:spPr>
        <a:xfrm>
          <a:off x="5235880" y="12244754"/>
          <a:ext cx="1649507" cy="280715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8</xdr:col>
      <xdr:colOff>125510</xdr:colOff>
      <xdr:row>52</xdr:row>
      <xdr:rowOff>0</xdr:rowOff>
    </xdr:from>
    <xdr:to>
      <xdr:col>8</xdr:col>
      <xdr:colOff>573745</xdr:colOff>
      <xdr:row>52</xdr:row>
      <xdr:rowOff>170329</xdr:rowOff>
    </xdr:to>
    <xdr:sp macro="" textlink="">
      <xdr:nvSpPr>
        <xdr:cNvPr id="161" name="Freccia a destra 160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/>
      </xdr:nvSpPr>
      <xdr:spPr>
        <a:xfrm>
          <a:off x="4499390" y="11155680"/>
          <a:ext cx="448235" cy="1703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472440</xdr:colOff>
      <xdr:row>5</xdr:row>
      <xdr:rowOff>0</xdr:rowOff>
    </xdr:from>
    <xdr:to>
      <xdr:col>6</xdr:col>
      <xdr:colOff>63425</xdr:colOff>
      <xdr:row>14</xdr:row>
      <xdr:rowOff>9413</xdr:rowOff>
    </xdr:to>
    <xdr:sp macro="" textlink="">
      <xdr:nvSpPr>
        <xdr:cNvPr id="205" name="Rettangolo 204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/>
      </xdr:nvSpPr>
      <xdr:spPr>
        <a:xfrm rot="5400000">
          <a:off x="1878666" y="1276014"/>
          <a:ext cx="1655333" cy="202938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526937</xdr:colOff>
      <xdr:row>5</xdr:row>
      <xdr:rowOff>66028</xdr:rowOff>
    </xdr:from>
    <xdr:to>
      <xdr:col>4</xdr:col>
      <xdr:colOff>117231</xdr:colOff>
      <xdr:row>13</xdr:row>
      <xdr:rowOff>86672</xdr:rowOff>
    </xdr:to>
    <xdr:grpSp>
      <xdr:nvGrpSpPr>
        <xdr:cNvPr id="301" name="Gruppo 300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GrpSpPr/>
      </xdr:nvGrpSpPr>
      <xdr:grpSpPr>
        <a:xfrm>
          <a:off x="1746137" y="1561453"/>
          <a:ext cx="809494" cy="1544644"/>
          <a:chOff x="1746137" y="1525551"/>
          <a:chExt cx="809494" cy="1474306"/>
        </a:xfrm>
      </xdr:grpSpPr>
      <xdr:sp macro="" textlink="">
        <xdr:nvSpPr>
          <xdr:cNvPr id="218" name="Rettangolo 217">
            <a:extLst>
              <a:ext uri="{FF2B5EF4-FFF2-40B4-BE49-F238E27FC236}">
                <a16:creationId xmlns:a16="http://schemas.microsoft.com/office/drawing/2014/main" xmlns="" id="{00000000-0008-0000-0200-0000DA000000}"/>
              </a:ext>
            </a:extLst>
          </xdr:cNvPr>
          <xdr:cNvSpPr/>
        </xdr:nvSpPr>
        <xdr:spPr>
          <a:xfrm>
            <a:off x="1749469" y="1525551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4" name="Rettangolo 243">
            <a:extLst>
              <a:ext uri="{FF2B5EF4-FFF2-40B4-BE49-F238E27FC236}">
                <a16:creationId xmlns:a16="http://schemas.microsoft.com/office/drawing/2014/main" xmlns="" id="{00000000-0008-0000-0200-0000F4000000}"/>
              </a:ext>
            </a:extLst>
          </xdr:cNvPr>
          <xdr:cNvSpPr/>
        </xdr:nvSpPr>
        <xdr:spPr>
          <a:xfrm>
            <a:off x="1749469" y="1646022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5" name="Rettangolo 244">
            <a:extLst>
              <a:ext uri="{FF2B5EF4-FFF2-40B4-BE49-F238E27FC236}">
                <a16:creationId xmlns:a16="http://schemas.microsoft.com/office/drawing/2014/main" xmlns="" id="{00000000-0008-0000-0200-0000F5000000}"/>
              </a:ext>
            </a:extLst>
          </xdr:cNvPr>
          <xdr:cNvSpPr/>
        </xdr:nvSpPr>
        <xdr:spPr>
          <a:xfrm>
            <a:off x="1746137" y="1769235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6" name="Rettangolo 245">
            <a:extLst>
              <a:ext uri="{FF2B5EF4-FFF2-40B4-BE49-F238E27FC236}">
                <a16:creationId xmlns:a16="http://schemas.microsoft.com/office/drawing/2014/main" xmlns="" id="{00000000-0008-0000-0200-0000F6000000}"/>
              </a:ext>
            </a:extLst>
          </xdr:cNvPr>
          <xdr:cNvSpPr/>
        </xdr:nvSpPr>
        <xdr:spPr>
          <a:xfrm>
            <a:off x="1749470" y="1892449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7" name="Rettangolo 246">
            <a:extLst>
              <a:ext uri="{FF2B5EF4-FFF2-40B4-BE49-F238E27FC236}">
                <a16:creationId xmlns:a16="http://schemas.microsoft.com/office/drawing/2014/main" xmlns="" id="{00000000-0008-0000-0200-0000F7000000}"/>
              </a:ext>
            </a:extLst>
          </xdr:cNvPr>
          <xdr:cNvSpPr/>
        </xdr:nvSpPr>
        <xdr:spPr>
          <a:xfrm>
            <a:off x="1749470" y="2030634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8" name="Rettangolo 247">
            <a:extLst>
              <a:ext uri="{FF2B5EF4-FFF2-40B4-BE49-F238E27FC236}">
                <a16:creationId xmlns:a16="http://schemas.microsoft.com/office/drawing/2014/main" xmlns="" id="{00000000-0008-0000-0200-0000F8000000}"/>
              </a:ext>
            </a:extLst>
          </xdr:cNvPr>
          <xdr:cNvSpPr/>
        </xdr:nvSpPr>
        <xdr:spPr>
          <a:xfrm>
            <a:off x="1749470" y="215708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6" name="Rettangolo 255">
            <a:extLst>
              <a:ext uri="{FF2B5EF4-FFF2-40B4-BE49-F238E27FC236}">
                <a16:creationId xmlns:a16="http://schemas.microsoft.com/office/drawing/2014/main" xmlns="" id="{00000000-0008-0000-0200-000000010000}"/>
              </a:ext>
            </a:extLst>
          </xdr:cNvPr>
          <xdr:cNvSpPr/>
        </xdr:nvSpPr>
        <xdr:spPr>
          <a:xfrm>
            <a:off x="1755491" y="2275827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7" name="Rettangolo 256">
            <a:extLst>
              <a:ext uri="{FF2B5EF4-FFF2-40B4-BE49-F238E27FC236}">
                <a16:creationId xmlns:a16="http://schemas.microsoft.com/office/drawing/2014/main" xmlns="" id="{00000000-0008-0000-0200-000001010000}"/>
              </a:ext>
            </a:extLst>
          </xdr:cNvPr>
          <xdr:cNvSpPr/>
        </xdr:nvSpPr>
        <xdr:spPr>
          <a:xfrm>
            <a:off x="1755491" y="2396298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8" name="Rettangolo 257">
            <a:extLst>
              <a:ext uri="{FF2B5EF4-FFF2-40B4-BE49-F238E27FC236}">
                <a16:creationId xmlns:a16="http://schemas.microsoft.com/office/drawing/2014/main" xmlns="" id="{00000000-0008-0000-0200-000002010000}"/>
              </a:ext>
            </a:extLst>
          </xdr:cNvPr>
          <xdr:cNvSpPr/>
        </xdr:nvSpPr>
        <xdr:spPr>
          <a:xfrm>
            <a:off x="1752159" y="2519511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9" name="Rettangolo 258">
            <a:extLst>
              <a:ext uri="{FF2B5EF4-FFF2-40B4-BE49-F238E27FC236}">
                <a16:creationId xmlns:a16="http://schemas.microsoft.com/office/drawing/2014/main" xmlns="" id="{00000000-0008-0000-0200-000003010000}"/>
              </a:ext>
            </a:extLst>
          </xdr:cNvPr>
          <xdr:cNvSpPr/>
        </xdr:nvSpPr>
        <xdr:spPr>
          <a:xfrm>
            <a:off x="1755492" y="264272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0" name="Rettangolo 259">
            <a:extLst>
              <a:ext uri="{FF2B5EF4-FFF2-40B4-BE49-F238E27FC236}">
                <a16:creationId xmlns:a16="http://schemas.microsoft.com/office/drawing/2014/main" xmlns="" id="{00000000-0008-0000-0200-000004010000}"/>
              </a:ext>
            </a:extLst>
          </xdr:cNvPr>
          <xdr:cNvSpPr/>
        </xdr:nvSpPr>
        <xdr:spPr>
          <a:xfrm>
            <a:off x="1755492" y="2780910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1" name="Rettangolo 260">
            <a:extLst>
              <a:ext uri="{FF2B5EF4-FFF2-40B4-BE49-F238E27FC236}">
                <a16:creationId xmlns:a16="http://schemas.microsoft.com/office/drawing/2014/main" xmlns="" id="{00000000-0008-0000-0200-000005010000}"/>
              </a:ext>
            </a:extLst>
          </xdr:cNvPr>
          <xdr:cNvSpPr/>
        </xdr:nvSpPr>
        <xdr:spPr>
          <a:xfrm>
            <a:off x="1755492" y="2907361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363415</xdr:colOff>
      <xdr:row>5</xdr:row>
      <xdr:rowOff>71892</xdr:rowOff>
    </xdr:from>
    <xdr:to>
      <xdr:col>5</xdr:col>
      <xdr:colOff>605338</xdr:colOff>
      <xdr:row>13</xdr:row>
      <xdr:rowOff>92536</xdr:rowOff>
    </xdr:to>
    <xdr:grpSp>
      <xdr:nvGrpSpPr>
        <xdr:cNvPr id="274" name="Gruppo 273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GrpSpPr/>
      </xdr:nvGrpSpPr>
      <xdr:grpSpPr>
        <a:xfrm>
          <a:off x="2801815" y="1567317"/>
          <a:ext cx="851523" cy="1544644"/>
          <a:chOff x="2865682" y="1531415"/>
          <a:chExt cx="787656" cy="1474306"/>
        </a:xfrm>
      </xdr:grpSpPr>
      <xdr:sp macro="" textlink="">
        <xdr:nvSpPr>
          <xdr:cNvPr id="262" name="Rettangolo 261">
            <a:extLst>
              <a:ext uri="{FF2B5EF4-FFF2-40B4-BE49-F238E27FC236}">
                <a16:creationId xmlns:a16="http://schemas.microsoft.com/office/drawing/2014/main" xmlns="" id="{00000000-0008-0000-0200-000006010000}"/>
              </a:ext>
            </a:extLst>
          </xdr:cNvPr>
          <xdr:cNvSpPr/>
        </xdr:nvSpPr>
        <xdr:spPr>
          <a:xfrm>
            <a:off x="2868924" y="1531415"/>
            <a:ext cx="778553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3" name="Rettangolo 262">
            <a:extLst>
              <a:ext uri="{FF2B5EF4-FFF2-40B4-BE49-F238E27FC236}">
                <a16:creationId xmlns:a16="http://schemas.microsoft.com/office/drawing/2014/main" xmlns="" id="{00000000-0008-0000-0200-000007010000}"/>
              </a:ext>
            </a:extLst>
          </xdr:cNvPr>
          <xdr:cNvSpPr/>
        </xdr:nvSpPr>
        <xdr:spPr>
          <a:xfrm>
            <a:off x="2868924" y="1651886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4" name="Rettangolo 263">
            <a:extLst>
              <a:ext uri="{FF2B5EF4-FFF2-40B4-BE49-F238E27FC236}">
                <a16:creationId xmlns:a16="http://schemas.microsoft.com/office/drawing/2014/main" xmlns="" id="{00000000-0008-0000-0200-000008010000}"/>
              </a:ext>
            </a:extLst>
          </xdr:cNvPr>
          <xdr:cNvSpPr/>
        </xdr:nvSpPr>
        <xdr:spPr>
          <a:xfrm>
            <a:off x="2865682" y="1775099"/>
            <a:ext cx="778553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5" name="Rettangolo 264">
            <a:extLst>
              <a:ext uri="{FF2B5EF4-FFF2-40B4-BE49-F238E27FC236}">
                <a16:creationId xmlns:a16="http://schemas.microsoft.com/office/drawing/2014/main" xmlns="" id="{00000000-0008-0000-0200-000009010000}"/>
              </a:ext>
            </a:extLst>
          </xdr:cNvPr>
          <xdr:cNvSpPr/>
        </xdr:nvSpPr>
        <xdr:spPr>
          <a:xfrm>
            <a:off x="2868925" y="1898313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6" name="Rettangolo 265">
            <a:extLst>
              <a:ext uri="{FF2B5EF4-FFF2-40B4-BE49-F238E27FC236}">
                <a16:creationId xmlns:a16="http://schemas.microsoft.com/office/drawing/2014/main" xmlns="" id="{00000000-0008-0000-0200-00000A010000}"/>
              </a:ext>
            </a:extLst>
          </xdr:cNvPr>
          <xdr:cNvSpPr/>
        </xdr:nvSpPr>
        <xdr:spPr>
          <a:xfrm>
            <a:off x="2868925" y="2036498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7" name="Rettangolo 266">
            <a:extLst>
              <a:ext uri="{FF2B5EF4-FFF2-40B4-BE49-F238E27FC236}">
                <a16:creationId xmlns:a16="http://schemas.microsoft.com/office/drawing/2014/main" xmlns="" id="{00000000-0008-0000-0200-00000B010000}"/>
              </a:ext>
            </a:extLst>
          </xdr:cNvPr>
          <xdr:cNvSpPr/>
        </xdr:nvSpPr>
        <xdr:spPr>
          <a:xfrm>
            <a:off x="2868925" y="2162949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8" name="Rettangolo 267">
            <a:extLst>
              <a:ext uri="{FF2B5EF4-FFF2-40B4-BE49-F238E27FC236}">
                <a16:creationId xmlns:a16="http://schemas.microsoft.com/office/drawing/2014/main" xmlns="" id="{00000000-0008-0000-0200-00000C010000}"/>
              </a:ext>
            </a:extLst>
          </xdr:cNvPr>
          <xdr:cNvSpPr/>
        </xdr:nvSpPr>
        <xdr:spPr>
          <a:xfrm>
            <a:off x="2874784" y="2281691"/>
            <a:ext cx="778553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9" name="Rettangolo 268">
            <a:extLst>
              <a:ext uri="{FF2B5EF4-FFF2-40B4-BE49-F238E27FC236}">
                <a16:creationId xmlns:a16="http://schemas.microsoft.com/office/drawing/2014/main" xmlns="" id="{00000000-0008-0000-0200-00000D010000}"/>
              </a:ext>
            </a:extLst>
          </xdr:cNvPr>
          <xdr:cNvSpPr/>
        </xdr:nvSpPr>
        <xdr:spPr>
          <a:xfrm>
            <a:off x="2874784" y="2402162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0" name="Rettangolo 269">
            <a:extLst>
              <a:ext uri="{FF2B5EF4-FFF2-40B4-BE49-F238E27FC236}">
                <a16:creationId xmlns:a16="http://schemas.microsoft.com/office/drawing/2014/main" xmlns="" id="{00000000-0008-0000-0200-00000E010000}"/>
              </a:ext>
            </a:extLst>
          </xdr:cNvPr>
          <xdr:cNvSpPr/>
        </xdr:nvSpPr>
        <xdr:spPr>
          <a:xfrm>
            <a:off x="2871542" y="2525375"/>
            <a:ext cx="778553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1" name="Rettangolo 270">
            <a:extLst>
              <a:ext uri="{FF2B5EF4-FFF2-40B4-BE49-F238E27FC236}">
                <a16:creationId xmlns:a16="http://schemas.microsoft.com/office/drawing/2014/main" xmlns="" id="{00000000-0008-0000-0200-00000F010000}"/>
              </a:ext>
            </a:extLst>
          </xdr:cNvPr>
          <xdr:cNvSpPr/>
        </xdr:nvSpPr>
        <xdr:spPr>
          <a:xfrm>
            <a:off x="2874785" y="2648589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2" name="Rettangolo 271">
            <a:extLst>
              <a:ext uri="{FF2B5EF4-FFF2-40B4-BE49-F238E27FC236}">
                <a16:creationId xmlns:a16="http://schemas.microsoft.com/office/drawing/2014/main" xmlns="" id="{00000000-0008-0000-0200-000010010000}"/>
              </a:ext>
            </a:extLst>
          </xdr:cNvPr>
          <xdr:cNvSpPr/>
        </xdr:nvSpPr>
        <xdr:spPr>
          <a:xfrm>
            <a:off x="2874785" y="2786774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3" name="Rettangolo 272">
            <a:extLst>
              <a:ext uri="{FF2B5EF4-FFF2-40B4-BE49-F238E27FC236}">
                <a16:creationId xmlns:a16="http://schemas.microsoft.com/office/drawing/2014/main" xmlns="" id="{00000000-0008-0000-0200-000011010000}"/>
              </a:ext>
            </a:extLst>
          </xdr:cNvPr>
          <xdr:cNvSpPr/>
        </xdr:nvSpPr>
        <xdr:spPr>
          <a:xfrm>
            <a:off x="2874785" y="2913225"/>
            <a:ext cx="778553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116269</xdr:colOff>
      <xdr:row>5</xdr:row>
      <xdr:rowOff>99030</xdr:rowOff>
    </xdr:from>
    <xdr:to>
      <xdr:col>4</xdr:col>
      <xdr:colOff>234461</xdr:colOff>
      <xdr:row>11</xdr:row>
      <xdr:rowOff>152404</xdr:rowOff>
    </xdr:to>
    <xdr:sp macro="" textlink="">
      <xdr:nvSpPr>
        <xdr:cNvPr id="289" name="Rettangolo 288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SpPr/>
      </xdr:nvSpPr>
      <xdr:spPr>
        <a:xfrm rot="5400000">
          <a:off x="2041955" y="2071267"/>
          <a:ext cx="1143620" cy="118192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239361</xdr:colOff>
      <xdr:row>5</xdr:row>
      <xdr:rowOff>75583</xdr:rowOff>
    </xdr:from>
    <xdr:to>
      <xdr:col>4</xdr:col>
      <xdr:colOff>357553</xdr:colOff>
      <xdr:row>11</xdr:row>
      <xdr:rowOff>128957</xdr:rowOff>
    </xdr:to>
    <xdr:sp macro="" textlink="">
      <xdr:nvSpPr>
        <xdr:cNvPr id="302" name="Rettangolo 301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SpPr/>
      </xdr:nvSpPr>
      <xdr:spPr>
        <a:xfrm rot="5400000">
          <a:off x="2165047" y="2047820"/>
          <a:ext cx="1143620" cy="118192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161364</xdr:colOff>
      <xdr:row>5</xdr:row>
      <xdr:rowOff>0</xdr:rowOff>
    </xdr:from>
    <xdr:to>
      <xdr:col>12</xdr:col>
      <xdr:colOff>155984</xdr:colOff>
      <xdr:row>14</xdr:row>
      <xdr:rowOff>9413</xdr:rowOff>
    </xdr:to>
    <xdr:sp macro="" textlink="">
      <xdr:nvSpPr>
        <xdr:cNvPr id="304" name="Rettangolo 303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SpPr/>
      </xdr:nvSpPr>
      <xdr:spPr>
        <a:xfrm rot="5400000">
          <a:off x="5245920" y="1352102"/>
          <a:ext cx="1623060" cy="18234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230683</xdr:colOff>
      <xdr:row>5</xdr:row>
      <xdr:rowOff>61880</xdr:rowOff>
    </xdr:from>
    <xdr:to>
      <xdr:col>10</xdr:col>
      <xdr:colOff>349627</xdr:colOff>
      <xdr:row>10</xdr:row>
      <xdr:rowOff>71718</xdr:rowOff>
    </xdr:to>
    <xdr:sp macro="" textlink="">
      <xdr:nvSpPr>
        <xdr:cNvPr id="305" name="Rettangolo 304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SpPr/>
      </xdr:nvSpPr>
      <xdr:spPr>
        <a:xfrm>
          <a:off x="5215059" y="1514162"/>
          <a:ext cx="728544" cy="9063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544448</xdr:colOff>
      <xdr:row>5</xdr:row>
      <xdr:rowOff>61880</xdr:rowOff>
    </xdr:from>
    <xdr:to>
      <xdr:col>12</xdr:col>
      <xdr:colOff>53792</xdr:colOff>
      <xdr:row>10</xdr:row>
      <xdr:rowOff>71718</xdr:rowOff>
    </xdr:to>
    <xdr:sp macro="" textlink="">
      <xdr:nvSpPr>
        <xdr:cNvPr id="306" name="Rettangolo 305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SpPr/>
      </xdr:nvSpPr>
      <xdr:spPr>
        <a:xfrm>
          <a:off x="6138424" y="1514162"/>
          <a:ext cx="728544" cy="9063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259979</xdr:colOff>
      <xdr:row>10</xdr:row>
      <xdr:rowOff>170331</xdr:rowOff>
    </xdr:from>
    <xdr:to>
      <xdr:col>12</xdr:col>
      <xdr:colOff>80686</xdr:colOff>
      <xdr:row>13</xdr:row>
      <xdr:rowOff>134473</xdr:rowOff>
    </xdr:to>
    <xdr:sp macro="" textlink="">
      <xdr:nvSpPr>
        <xdr:cNvPr id="307" name="Nuvola 306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SpPr/>
      </xdr:nvSpPr>
      <xdr:spPr>
        <a:xfrm>
          <a:off x="5244355" y="2519084"/>
          <a:ext cx="1649507" cy="502024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tx1"/>
              </a:solidFill>
            </a:rPr>
            <a:t>CARTA</a:t>
          </a:r>
        </a:p>
      </xdr:txBody>
    </xdr:sp>
    <xdr:clientData/>
  </xdr:twoCellAnchor>
  <xdr:twoCellAnchor>
    <xdr:from>
      <xdr:col>2</xdr:col>
      <xdr:colOff>468923</xdr:colOff>
      <xdr:row>51</xdr:row>
      <xdr:rowOff>46798</xdr:rowOff>
    </xdr:from>
    <xdr:to>
      <xdr:col>2</xdr:col>
      <xdr:colOff>603738</xdr:colOff>
      <xdr:row>59</xdr:row>
      <xdr:rowOff>152391</xdr:rowOff>
    </xdr:to>
    <xdr:sp macro="" textlink="">
      <xdr:nvSpPr>
        <xdr:cNvPr id="342" name="Rettangolo 341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SpPr/>
      </xdr:nvSpPr>
      <xdr:spPr>
        <a:xfrm>
          <a:off x="1688123" y="10966844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11723</xdr:colOff>
      <xdr:row>51</xdr:row>
      <xdr:rowOff>46806</xdr:rowOff>
    </xdr:from>
    <xdr:to>
      <xdr:col>3</xdr:col>
      <xdr:colOff>146538</xdr:colOff>
      <xdr:row>59</xdr:row>
      <xdr:rowOff>152399</xdr:rowOff>
    </xdr:to>
    <xdr:sp macro="" textlink="">
      <xdr:nvSpPr>
        <xdr:cNvPr id="343" name="Rettangolo 342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SpPr/>
      </xdr:nvSpPr>
      <xdr:spPr>
        <a:xfrm>
          <a:off x="1840523" y="10966852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164123</xdr:colOff>
      <xdr:row>51</xdr:row>
      <xdr:rowOff>46800</xdr:rowOff>
    </xdr:from>
    <xdr:to>
      <xdr:col>3</xdr:col>
      <xdr:colOff>298938</xdr:colOff>
      <xdr:row>59</xdr:row>
      <xdr:rowOff>152393</xdr:rowOff>
    </xdr:to>
    <xdr:sp macro="" textlink="">
      <xdr:nvSpPr>
        <xdr:cNvPr id="344" name="Rettangolo 343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SpPr/>
      </xdr:nvSpPr>
      <xdr:spPr>
        <a:xfrm>
          <a:off x="1992923" y="10966846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316523</xdr:colOff>
      <xdr:row>51</xdr:row>
      <xdr:rowOff>46794</xdr:rowOff>
    </xdr:from>
    <xdr:to>
      <xdr:col>3</xdr:col>
      <xdr:colOff>451338</xdr:colOff>
      <xdr:row>59</xdr:row>
      <xdr:rowOff>152387</xdr:rowOff>
    </xdr:to>
    <xdr:sp macro="" textlink="">
      <xdr:nvSpPr>
        <xdr:cNvPr id="345" name="Rettangolo 344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SpPr/>
      </xdr:nvSpPr>
      <xdr:spPr>
        <a:xfrm>
          <a:off x="2145323" y="10966840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468923</xdr:colOff>
      <xdr:row>51</xdr:row>
      <xdr:rowOff>40934</xdr:rowOff>
    </xdr:from>
    <xdr:to>
      <xdr:col>3</xdr:col>
      <xdr:colOff>603738</xdr:colOff>
      <xdr:row>59</xdr:row>
      <xdr:rowOff>146527</xdr:rowOff>
    </xdr:to>
    <xdr:sp macro="" textlink="">
      <xdr:nvSpPr>
        <xdr:cNvPr id="346" name="Rettangolo 345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SpPr/>
      </xdr:nvSpPr>
      <xdr:spPr>
        <a:xfrm>
          <a:off x="2297723" y="10960980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11723</xdr:colOff>
      <xdr:row>51</xdr:row>
      <xdr:rowOff>46802</xdr:rowOff>
    </xdr:from>
    <xdr:to>
      <xdr:col>4</xdr:col>
      <xdr:colOff>146538</xdr:colOff>
      <xdr:row>59</xdr:row>
      <xdr:rowOff>152395</xdr:rowOff>
    </xdr:to>
    <xdr:sp macro="" textlink="">
      <xdr:nvSpPr>
        <xdr:cNvPr id="347" name="Rettangolo 346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SpPr/>
      </xdr:nvSpPr>
      <xdr:spPr>
        <a:xfrm>
          <a:off x="2450123" y="10966848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164123</xdr:colOff>
      <xdr:row>51</xdr:row>
      <xdr:rowOff>46812</xdr:rowOff>
    </xdr:from>
    <xdr:to>
      <xdr:col>4</xdr:col>
      <xdr:colOff>298938</xdr:colOff>
      <xdr:row>59</xdr:row>
      <xdr:rowOff>152405</xdr:rowOff>
    </xdr:to>
    <xdr:sp macro="" textlink="">
      <xdr:nvSpPr>
        <xdr:cNvPr id="348" name="Rettangolo 347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SpPr/>
      </xdr:nvSpPr>
      <xdr:spPr>
        <a:xfrm>
          <a:off x="2602523" y="10966858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316523</xdr:colOff>
      <xdr:row>51</xdr:row>
      <xdr:rowOff>40934</xdr:rowOff>
    </xdr:from>
    <xdr:to>
      <xdr:col>4</xdr:col>
      <xdr:colOff>451338</xdr:colOff>
      <xdr:row>59</xdr:row>
      <xdr:rowOff>146527</xdr:rowOff>
    </xdr:to>
    <xdr:sp macro="" textlink="">
      <xdr:nvSpPr>
        <xdr:cNvPr id="349" name="Rettangolo 348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SpPr/>
      </xdr:nvSpPr>
      <xdr:spPr>
        <a:xfrm>
          <a:off x="2754923" y="10960980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468923</xdr:colOff>
      <xdr:row>51</xdr:row>
      <xdr:rowOff>46807</xdr:rowOff>
    </xdr:from>
    <xdr:to>
      <xdr:col>4</xdr:col>
      <xdr:colOff>603738</xdr:colOff>
      <xdr:row>59</xdr:row>
      <xdr:rowOff>152400</xdr:rowOff>
    </xdr:to>
    <xdr:sp macro="" textlink="">
      <xdr:nvSpPr>
        <xdr:cNvPr id="350" name="Rettangolo 349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SpPr/>
      </xdr:nvSpPr>
      <xdr:spPr>
        <a:xfrm>
          <a:off x="2907323" y="10966853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11723</xdr:colOff>
      <xdr:row>51</xdr:row>
      <xdr:rowOff>52665</xdr:rowOff>
    </xdr:from>
    <xdr:to>
      <xdr:col>5</xdr:col>
      <xdr:colOff>146538</xdr:colOff>
      <xdr:row>59</xdr:row>
      <xdr:rowOff>158258</xdr:rowOff>
    </xdr:to>
    <xdr:sp macro="" textlink="">
      <xdr:nvSpPr>
        <xdr:cNvPr id="351" name="Rettangolo 350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SpPr/>
      </xdr:nvSpPr>
      <xdr:spPr>
        <a:xfrm>
          <a:off x="3059723" y="10972711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164123</xdr:colOff>
      <xdr:row>51</xdr:row>
      <xdr:rowOff>46804</xdr:rowOff>
    </xdr:from>
    <xdr:to>
      <xdr:col>5</xdr:col>
      <xdr:colOff>298938</xdr:colOff>
      <xdr:row>59</xdr:row>
      <xdr:rowOff>152397</xdr:rowOff>
    </xdr:to>
    <xdr:sp macro="" textlink="">
      <xdr:nvSpPr>
        <xdr:cNvPr id="352" name="Rettangolo 351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SpPr/>
      </xdr:nvSpPr>
      <xdr:spPr>
        <a:xfrm>
          <a:off x="3212123" y="10966850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316523</xdr:colOff>
      <xdr:row>51</xdr:row>
      <xdr:rowOff>46805</xdr:rowOff>
    </xdr:from>
    <xdr:to>
      <xdr:col>5</xdr:col>
      <xdr:colOff>451338</xdr:colOff>
      <xdr:row>59</xdr:row>
      <xdr:rowOff>152398</xdr:rowOff>
    </xdr:to>
    <xdr:sp macro="" textlink="">
      <xdr:nvSpPr>
        <xdr:cNvPr id="353" name="Rettangolo 352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SpPr/>
      </xdr:nvSpPr>
      <xdr:spPr>
        <a:xfrm>
          <a:off x="3364523" y="10966851"/>
          <a:ext cx="134815" cy="155925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358140</xdr:colOff>
      <xdr:row>28</xdr:row>
      <xdr:rowOff>137160</xdr:rowOff>
    </xdr:from>
    <xdr:to>
      <xdr:col>4</xdr:col>
      <xdr:colOff>99060</xdr:colOff>
      <xdr:row>36</xdr:row>
      <xdr:rowOff>157804</xdr:rowOff>
    </xdr:to>
    <xdr:grpSp>
      <xdr:nvGrpSpPr>
        <xdr:cNvPr id="91" name="Gruppo 90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GrpSpPr/>
      </xdr:nvGrpSpPr>
      <xdr:grpSpPr>
        <a:xfrm>
          <a:off x="1577340" y="6557010"/>
          <a:ext cx="960120" cy="1544644"/>
          <a:chOff x="1746137" y="1525551"/>
          <a:chExt cx="809494" cy="1474306"/>
        </a:xfrm>
      </xdr:grpSpPr>
      <xdr:sp macro="" textlink="">
        <xdr:nvSpPr>
          <xdr:cNvPr id="92" name="Rettangolo 91">
            <a:extLst>
              <a:ext uri="{FF2B5EF4-FFF2-40B4-BE49-F238E27FC236}">
                <a16:creationId xmlns:a16="http://schemas.microsoft.com/office/drawing/2014/main" xmlns="" id="{00000000-0008-0000-0200-00005C000000}"/>
              </a:ext>
            </a:extLst>
          </xdr:cNvPr>
          <xdr:cNvSpPr/>
        </xdr:nvSpPr>
        <xdr:spPr>
          <a:xfrm>
            <a:off x="1749469" y="1525551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3" name="Rettangolo 92">
            <a:extLst>
              <a:ext uri="{FF2B5EF4-FFF2-40B4-BE49-F238E27FC236}">
                <a16:creationId xmlns:a16="http://schemas.microsoft.com/office/drawing/2014/main" xmlns="" id="{00000000-0008-0000-0200-00005D000000}"/>
              </a:ext>
            </a:extLst>
          </xdr:cNvPr>
          <xdr:cNvSpPr/>
        </xdr:nvSpPr>
        <xdr:spPr>
          <a:xfrm>
            <a:off x="1749469" y="1646022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4" name="Rettangolo 93">
            <a:extLst>
              <a:ext uri="{FF2B5EF4-FFF2-40B4-BE49-F238E27FC236}">
                <a16:creationId xmlns:a16="http://schemas.microsoft.com/office/drawing/2014/main" xmlns="" id="{00000000-0008-0000-0200-00005E000000}"/>
              </a:ext>
            </a:extLst>
          </xdr:cNvPr>
          <xdr:cNvSpPr/>
        </xdr:nvSpPr>
        <xdr:spPr>
          <a:xfrm>
            <a:off x="1746137" y="1769235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5" name="Rettangolo 94">
            <a:extLst>
              <a:ext uri="{FF2B5EF4-FFF2-40B4-BE49-F238E27FC236}">
                <a16:creationId xmlns:a16="http://schemas.microsoft.com/office/drawing/2014/main" xmlns="" id="{00000000-0008-0000-0200-00005F000000}"/>
              </a:ext>
            </a:extLst>
          </xdr:cNvPr>
          <xdr:cNvSpPr/>
        </xdr:nvSpPr>
        <xdr:spPr>
          <a:xfrm>
            <a:off x="1749470" y="1892449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6" name="Rettangolo 95">
            <a:extLst>
              <a:ext uri="{FF2B5EF4-FFF2-40B4-BE49-F238E27FC236}">
                <a16:creationId xmlns:a16="http://schemas.microsoft.com/office/drawing/2014/main" xmlns="" id="{00000000-0008-0000-0200-000060000000}"/>
              </a:ext>
            </a:extLst>
          </xdr:cNvPr>
          <xdr:cNvSpPr/>
        </xdr:nvSpPr>
        <xdr:spPr>
          <a:xfrm>
            <a:off x="1749470" y="2030634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7" name="Rettangolo 96">
            <a:extLst>
              <a:ext uri="{FF2B5EF4-FFF2-40B4-BE49-F238E27FC236}">
                <a16:creationId xmlns:a16="http://schemas.microsoft.com/office/drawing/2014/main" xmlns="" id="{00000000-0008-0000-0200-000061000000}"/>
              </a:ext>
            </a:extLst>
          </xdr:cNvPr>
          <xdr:cNvSpPr/>
        </xdr:nvSpPr>
        <xdr:spPr>
          <a:xfrm>
            <a:off x="1749470" y="215708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8" name="Rettangolo 97">
            <a:extLst>
              <a:ext uri="{FF2B5EF4-FFF2-40B4-BE49-F238E27FC236}">
                <a16:creationId xmlns:a16="http://schemas.microsoft.com/office/drawing/2014/main" xmlns="" id="{00000000-0008-0000-0200-000062000000}"/>
              </a:ext>
            </a:extLst>
          </xdr:cNvPr>
          <xdr:cNvSpPr/>
        </xdr:nvSpPr>
        <xdr:spPr>
          <a:xfrm>
            <a:off x="1755491" y="2275827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9" name="Rettangolo 98">
            <a:extLst>
              <a:ext uri="{FF2B5EF4-FFF2-40B4-BE49-F238E27FC236}">
                <a16:creationId xmlns:a16="http://schemas.microsoft.com/office/drawing/2014/main" xmlns="" id="{00000000-0008-0000-0200-000063000000}"/>
              </a:ext>
            </a:extLst>
          </xdr:cNvPr>
          <xdr:cNvSpPr/>
        </xdr:nvSpPr>
        <xdr:spPr>
          <a:xfrm>
            <a:off x="1755491" y="2396298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0" name="Rettangolo 99">
            <a:extLst>
              <a:ext uri="{FF2B5EF4-FFF2-40B4-BE49-F238E27FC236}">
                <a16:creationId xmlns:a16="http://schemas.microsoft.com/office/drawing/2014/main" xmlns="" id="{00000000-0008-0000-0200-000064000000}"/>
              </a:ext>
            </a:extLst>
          </xdr:cNvPr>
          <xdr:cNvSpPr/>
        </xdr:nvSpPr>
        <xdr:spPr>
          <a:xfrm>
            <a:off x="1752159" y="2519511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1" name="Rettangolo 100">
            <a:extLst>
              <a:ext uri="{FF2B5EF4-FFF2-40B4-BE49-F238E27FC236}">
                <a16:creationId xmlns:a16="http://schemas.microsoft.com/office/drawing/2014/main" xmlns="" id="{00000000-0008-0000-0200-000065000000}"/>
              </a:ext>
            </a:extLst>
          </xdr:cNvPr>
          <xdr:cNvSpPr/>
        </xdr:nvSpPr>
        <xdr:spPr>
          <a:xfrm>
            <a:off x="1755492" y="264272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2" name="Rettangolo 101">
            <a:extLst>
              <a:ext uri="{FF2B5EF4-FFF2-40B4-BE49-F238E27FC236}">
                <a16:creationId xmlns:a16="http://schemas.microsoft.com/office/drawing/2014/main" xmlns="" id="{00000000-0008-0000-0200-000066000000}"/>
              </a:ext>
            </a:extLst>
          </xdr:cNvPr>
          <xdr:cNvSpPr/>
        </xdr:nvSpPr>
        <xdr:spPr>
          <a:xfrm>
            <a:off x="1755492" y="2780910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3" name="Rettangolo 102">
            <a:extLst>
              <a:ext uri="{FF2B5EF4-FFF2-40B4-BE49-F238E27FC236}">
                <a16:creationId xmlns:a16="http://schemas.microsoft.com/office/drawing/2014/main" xmlns="" id="{00000000-0008-0000-0200-000067000000}"/>
              </a:ext>
            </a:extLst>
          </xdr:cNvPr>
          <xdr:cNvSpPr/>
        </xdr:nvSpPr>
        <xdr:spPr>
          <a:xfrm>
            <a:off x="1755492" y="2907361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121920</xdr:colOff>
      <xdr:row>28</xdr:row>
      <xdr:rowOff>137160</xdr:rowOff>
    </xdr:from>
    <xdr:to>
      <xdr:col>5</xdr:col>
      <xdr:colOff>472440</xdr:colOff>
      <xdr:row>36</xdr:row>
      <xdr:rowOff>157804</xdr:rowOff>
    </xdr:to>
    <xdr:grpSp>
      <xdr:nvGrpSpPr>
        <xdr:cNvPr id="104" name="Gruppo 103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GrpSpPr/>
      </xdr:nvGrpSpPr>
      <xdr:grpSpPr>
        <a:xfrm>
          <a:off x="2560320" y="6557010"/>
          <a:ext cx="960120" cy="1544644"/>
          <a:chOff x="1746137" y="1525551"/>
          <a:chExt cx="809494" cy="1474306"/>
        </a:xfrm>
      </xdr:grpSpPr>
      <xdr:sp macro="" textlink="">
        <xdr:nvSpPr>
          <xdr:cNvPr id="105" name="Rettangolo 104">
            <a:extLst>
              <a:ext uri="{FF2B5EF4-FFF2-40B4-BE49-F238E27FC236}">
                <a16:creationId xmlns:a16="http://schemas.microsoft.com/office/drawing/2014/main" xmlns="" id="{00000000-0008-0000-0200-000069000000}"/>
              </a:ext>
            </a:extLst>
          </xdr:cNvPr>
          <xdr:cNvSpPr/>
        </xdr:nvSpPr>
        <xdr:spPr>
          <a:xfrm>
            <a:off x="1749469" y="1525551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" name="Rettangolo 105">
            <a:extLst>
              <a:ext uri="{FF2B5EF4-FFF2-40B4-BE49-F238E27FC236}">
                <a16:creationId xmlns:a16="http://schemas.microsoft.com/office/drawing/2014/main" xmlns="" id="{00000000-0008-0000-0200-00006A000000}"/>
              </a:ext>
            </a:extLst>
          </xdr:cNvPr>
          <xdr:cNvSpPr/>
        </xdr:nvSpPr>
        <xdr:spPr>
          <a:xfrm>
            <a:off x="1749469" y="1646022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" name="Rettangolo 106">
            <a:extLst>
              <a:ext uri="{FF2B5EF4-FFF2-40B4-BE49-F238E27FC236}">
                <a16:creationId xmlns:a16="http://schemas.microsoft.com/office/drawing/2014/main" xmlns="" id="{00000000-0008-0000-0200-00006B000000}"/>
              </a:ext>
            </a:extLst>
          </xdr:cNvPr>
          <xdr:cNvSpPr/>
        </xdr:nvSpPr>
        <xdr:spPr>
          <a:xfrm>
            <a:off x="1746137" y="1769235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8" name="Rettangolo 107">
            <a:extLst>
              <a:ext uri="{FF2B5EF4-FFF2-40B4-BE49-F238E27FC236}">
                <a16:creationId xmlns:a16="http://schemas.microsoft.com/office/drawing/2014/main" xmlns="" id="{00000000-0008-0000-0200-00006C000000}"/>
              </a:ext>
            </a:extLst>
          </xdr:cNvPr>
          <xdr:cNvSpPr/>
        </xdr:nvSpPr>
        <xdr:spPr>
          <a:xfrm>
            <a:off x="1749470" y="1892449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9" name="Rettangolo 108">
            <a:extLst>
              <a:ext uri="{FF2B5EF4-FFF2-40B4-BE49-F238E27FC236}">
                <a16:creationId xmlns:a16="http://schemas.microsoft.com/office/drawing/2014/main" xmlns="" id="{00000000-0008-0000-0200-00006D000000}"/>
              </a:ext>
            </a:extLst>
          </xdr:cNvPr>
          <xdr:cNvSpPr/>
        </xdr:nvSpPr>
        <xdr:spPr>
          <a:xfrm>
            <a:off x="1749470" y="2030634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0" name="Rettangolo 109">
            <a:extLst>
              <a:ext uri="{FF2B5EF4-FFF2-40B4-BE49-F238E27FC236}">
                <a16:creationId xmlns:a16="http://schemas.microsoft.com/office/drawing/2014/main" xmlns="" id="{00000000-0008-0000-0200-00006E000000}"/>
              </a:ext>
            </a:extLst>
          </xdr:cNvPr>
          <xdr:cNvSpPr/>
        </xdr:nvSpPr>
        <xdr:spPr>
          <a:xfrm>
            <a:off x="1749470" y="215708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5" name="Rettangolo 114">
            <a:extLst>
              <a:ext uri="{FF2B5EF4-FFF2-40B4-BE49-F238E27FC236}">
                <a16:creationId xmlns:a16="http://schemas.microsoft.com/office/drawing/2014/main" xmlns="" id="{00000000-0008-0000-0200-000073000000}"/>
              </a:ext>
            </a:extLst>
          </xdr:cNvPr>
          <xdr:cNvSpPr/>
        </xdr:nvSpPr>
        <xdr:spPr>
          <a:xfrm>
            <a:off x="1755491" y="2275827"/>
            <a:ext cx="800139" cy="9241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7" name="Rettangolo 116">
            <a:extLst>
              <a:ext uri="{FF2B5EF4-FFF2-40B4-BE49-F238E27FC236}">
                <a16:creationId xmlns:a16="http://schemas.microsoft.com/office/drawing/2014/main" xmlns="" id="{00000000-0008-0000-0200-000075000000}"/>
              </a:ext>
            </a:extLst>
          </xdr:cNvPr>
          <xdr:cNvSpPr/>
        </xdr:nvSpPr>
        <xdr:spPr>
          <a:xfrm>
            <a:off x="1755491" y="2396298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8" name="Rettangolo 117">
            <a:extLst>
              <a:ext uri="{FF2B5EF4-FFF2-40B4-BE49-F238E27FC236}">
                <a16:creationId xmlns:a16="http://schemas.microsoft.com/office/drawing/2014/main" xmlns="" id="{00000000-0008-0000-0200-000076000000}"/>
              </a:ext>
            </a:extLst>
          </xdr:cNvPr>
          <xdr:cNvSpPr/>
        </xdr:nvSpPr>
        <xdr:spPr>
          <a:xfrm>
            <a:off x="1752159" y="2519511"/>
            <a:ext cx="800139" cy="9249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9" name="Rettangolo 118">
            <a:extLst>
              <a:ext uri="{FF2B5EF4-FFF2-40B4-BE49-F238E27FC236}">
                <a16:creationId xmlns:a16="http://schemas.microsoft.com/office/drawing/2014/main" xmlns="" id="{00000000-0008-0000-0200-000077000000}"/>
              </a:ext>
            </a:extLst>
          </xdr:cNvPr>
          <xdr:cNvSpPr/>
        </xdr:nvSpPr>
        <xdr:spPr>
          <a:xfrm>
            <a:off x="1755492" y="2642725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0" name="Rettangolo 119">
            <a:extLst>
              <a:ext uri="{FF2B5EF4-FFF2-40B4-BE49-F238E27FC236}">
                <a16:creationId xmlns:a16="http://schemas.microsoft.com/office/drawing/2014/main" xmlns="" id="{00000000-0008-0000-0200-000078000000}"/>
              </a:ext>
            </a:extLst>
          </xdr:cNvPr>
          <xdr:cNvSpPr/>
        </xdr:nvSpPr>
        <xdr:spPr>
          <a:xfrm>
            <a:off x="1755492" y="2780910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1" name="Rettangolo 120">
            <a:extLst>
              <a:ext uri="{FF2B5EF4-FFF2-40B4-BE49-F238E27FC236}">
                <a16:creationId xmlns:a16="http://schemas.microsoft.com/office/drawing/2014/main" xmlns="" id="{00000000-0008-0000-0200-000079000000}"/>
              </a:ext>
            </a:extLst>
          </xdr:cNvPr>
          <xdr:cNvSpPr/>
        </xdr:nvSpPr>
        <xdr:spPr>
          <a:xfrm>
            <a:off x="1755492" y="2907361"/>
            <a:ext cx="800139" cy="9249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29"/>
  <sheetViews>
    <sheetView tabSelected="1" workbookViewId="0">
      <selection activeCell="H5" sqref="H5:H8"/>
    </sheetView>
  </sheetViews>
  <sheetFormatPr defaultRowHeight="15" x14ac:dyDescent="0.25"/>
  <cols>
    <col min="3" max="3" width="31.85546875" customWidth="1"/>
    <col min="4" max="4" width="29.28515625" customWidth="1"/>
    <col min="5" max="5" width="10.85546875" bestFit="1" customWidth="1"/>
    <col min="6" max="7" width="10.85546875" customWidth="1"/>
    <col min="8" max="8" width="11.28515625" bestFit="1" customWidth="1"/>
  </cols>
  <sheetData>
    <row r="2" spans="3:8" ht="15.75" thickBot="1" x14ac:dyDescent="0.3"/>
    <row r="3" spans="3:8" ht="15.75" thickBot="1" x14ac:dyDescent="0.3">
      <c r="C3" s="133" t="s">
        <v>454</v>
      </c>
      <c r="D3" s="134"/>
      <c r="E3" s="134"/>
      <c r="F3" s="134"/>
      <c r="G3" s="134"/>
      <c r="H3" s="135"/>
    </row>
    <row r="4" spans="3:8" ht="15.75" thickTop="1" x14ac:dyDescent="0.25">
      <c r="C4" s="87" t="s">
        <v>542</v>
      </c>
      <c r="D4" s="88" t="s">
        <v>545</v>
      </c>
      <c r="E4" s="88" t="s">
        <v>548</v>
      </c>
      <c r="F4" s="108" t="s">
        <v>549</v>
      </c>
      <c r="G4" s="108" t="s">
        <v>550</v>
      </c>
      <c r="H4" s="89" t="s">
        <v>547</v>
      </c>
    </row>
    <row r="5" spans="3:8" x14ac:dyDescent="0.25">
      <c r="C5" s="90" t="str">
        <f>'DATA BASE CALCOLO VOLUMI'!E2</f>
        <v>0 PALLET -</v>
      </c>
      <c r="D5" s="91" t="str">
        <f>'DATA BASE CALCOLO VOLUMI'!F2</f>
        <v>-</v>
      </c>
      <c r="E5" s="121">
        <f>'SCATOLE E DIMENSIONI'!B37+'DATA BASE CALCOLO VOLUMI'!G6</f>
        <v>54.8</v>
      </c>
      <c r="F5" s="121">
        <f>'SCATOLE E DIMENSIONI'!B36</f>
        <v>47.5</v>
      </c>
      <c r="G5" s="124">
        <f>'DATA BASE CALCOLO VOLUMI'!H2+'DATA BASE CALCOLO VOLUMI'!H3+'DATA BASE CALCOLO VOLUMI'!H4+'DATA BASE CALCOLO VOLUMI'!H5</f>
        <v>0.24854374999999998</v>
      </c>
      <c r="H5" s="136">
        <f>'SCATOLE E DIMENSIONI'!B35</f>
        <v>4</v>
      </c>
    </row>
    <row r="6" spans="3:8" x14ac:dyDescent="0.25">
      <c r="C6" s="90" t="str">
        <f>'DATA BASE CALCOLO VOLUMI'!E3</f>
        <v>0 PALLET -</v>
      </c>
      <c r="D6" s="91" t="str">
        <f>'DATA BASE CALCOLO VOLUMI'!F3</f>
        <v>-</v>
      </c>
      <c r="E6" s="122"/>
      <c r="F6" s="122"/>
      <c r="G6" s="125"/>
      <c r="H6" s="137"/>
    </row>
    <row r="7" spans="3:8" x14ac:dyDescent="0.25">
      <c r="C7" s="90" t="str">
        <f>'DATA BASE CALCOLO VOLUMI'!E4</f>
        <v>0 PALLET -</v>
      </c>
      <c r="D7" s="91" t="str">
        <f>'DATA BASE CALCOLO VOLUMI'!F4</f>
        <v>-</v>
      </c>
      <c r="E7" s="122"/>
      <c r="F7" s="122"/>
      <c r="G7" s="125"/>
      <c r="H7" s="137"/>
    </row>
    <row r="8" spans="3:8" ht="15.75" thickBot="1" x14ac:dyDescent="0.3">
      <c r="C8" s="92" t="str">
        <f>'DATA BASE CALCOLO VOLUMI'!E5</f>
        <v>1 PALLET PICCOLO DA 4 SCATOLE</v>
      </c>
      <c r="D8" s="93" t="str">
        <f>'DATA BASE CALCOLO VOLUMI'!F5</f>
        <v>65 CM X H 47,5 CM X 80,5 CM</v>
      </c>
      <c r="E8" s="123"/>
      <c r="F8" s="123"/>
      <c r="G8" s="126"/>
      <c r="H8" s="138"/>
    </row>
    <row r="9" spans="3:8" ht="15.75" thickBot="1" x14ac:dyDescent="0.3"/>
    <row r="10" spans="3:8" ht="15.75" thickBot="1" x14ac:dyDescent="0.3">
      <c r="C10" s="142" t="s">
        <v>546</v>
      </c>
      <c r="D10" s="143"/>
      <c r="E10" s="143"/>
      <c r="F10" s="143"/>
      <c r="G10" s="143"/>
      <c r="H10" s="144"/>
    </row>
    <row r="11" spans="3:8" ht="15.75" thickTop="1" x14ac:dyDescent="0.25">
      <c r="C11" s="94" t="s">
        <v>542</v>
      </c>
      <c r="D11" s="95" t="s">
        <v>545</v>
      </c>
      <c r="E11" s="95" t="s">
        <v>548</v>
      </c>
      <c r="F11" s="109" t="s">
        <v>549</v>
      </c>
      <c r="G11" s="109" t="s">
        <v>550</v>
      </c>
      <c r="H11" s="96" t="s">
        <v>547</v>
      </c>
    </row>
    <row r="12" spans="3:8" x14ac:dyDescent="0.25">
      <c r="C12" s="97" t="str">
        <f>'DATA BASE CALCOLO VOLUMI'!E9</f>
        <v>0 PALLET -</v>
      </c>
      <c r="D12" s="98" t="str">
        <f>'DATA BASE CALCOLO VOLUMI'!F9</f>
        <v>-</v>
      </c>
      <c r="E12" s="127">
        <f>'SCATOLE E DIMENSIONI'!G37+'DATA BASE CALCOLO VOLUMI'!G13</f>
        <v>57.399999999999991</v>
      </c>
      <c r="F12" s="127">
        <f>'SCATOLE E DIMENSIONI'!G36</f>
        <v>48.099999999999994</v>
      </c>
      <c r="G12" s="130">
        <f>'DATA BASE CALCOLO VOLUMI'!H9+'DATA BASE CALCOLO VOLUMI'!H10+'DATA BASE CALCOLO VOLUMI'!H11+'DATA BASE CALCOLO VOLUMI'!H12</f>
        <v>0.41598375000000004</v>
      </c>
      <c r="H12" s="139">
        <f>'SCATOLE E DIMENSIONI'!G35</f>
        <v>6</v>
      </c>
    </row>
    <row r="13" spans="3:8" x14ac:dyDescent="0.25">
      <c r="C13" s="97" t="str">
        <f>'DATA BASE CALCOLO VOLUMI'!E10</f>
        <v>0 PALLET -</v>
      </c>
      <c r="D13" s="98" t="str">
        <f>'DATA BASE CALCOLO VOLUMI'!F10</f>
        <v>-</v>
      </c>
      <c r="E13" s="128"/>
      <c r="F13" s="128"/>
      <c r="G13" s="131"/>
      <c r="H13" s="140"/>
    </row>
    <row r="14" spans="3:8" x14ac:dyDescent="0.25">
      <c r="C14" s="97" t="str">
        <f>'DATA BASE CALCOLO VOLUMI'!E11</f>
        <v>0 PALLET -</v>
      </c>
      <c r="D14" s="98" t="str">
        <f>'DATA BASE CALCOLO VOLUMI'!F11</f>
        <v>-</v>
      </c>
      <c r="E14" s="128"/>
      <c r="F14" s="128"/>
      <c r="G14" s="131"/>
      <c r="H14" s="140"/>
    </row>
    <row r="15" spans="3:8" ht="15.75" thickBot="1" x14ac:dyDescent="0.3">
      <c r="C15" s="99" t="str">
        <f>'DATA BASE CALCOLO VOLUMI'!E12</f>
        <v>1 PALLET PICCOLO DA 6 SCATOLE</v>
      </c>
      <c r="D15" s="100" t="str">
        <f>'DATA BASE CALCOLO VOLUMI'!F12</f>
        <v>65 CM X H 79,5 CM X 80,5 CM</v>
      </c>
      <c r="E15" s="129"/>
      <c r="F15" s="129"/>
      <c r="G15" s="132"/>
      <c r="H15" s="141"/>
    </row>
    <row r="16" spans="3:8" ht="15.75" thickBot="1" x14ac:dyDescent="0.3">
      <c r="E16" s="86"/>
      <c r="F16" s="86"/>
      <c r="G16" s="86"/>
      <c r="H16" s="86"/>
    </row>
    <row r="17" spans="3:8" ht="15.75" thickBot="1" x14ac:dyDescent="0.3">
      <c r="C17" s="118" t="s">
        <v>455</v>
      </c>
      <c r="D17" s="119"/>
      <c r="E17" s="119"/>
      <c r="F17" s="119"/>
      <c r="G17" s="119"/>
      <c r="H17" s="120"/>
    </row>
    <row r="18" spans="3:8" ht="15.75" thickTop="1" x14ac:dyDescent="0.25">
      <c r="C18" s="101" t="s">
        <v>542</v>
      </c>
      <c r="D18" s="102" t="s">
        <v>545</v>
      </c>
      <c r="E18" s="102" t="s">
        <v>548</v>
      </c>
      <c r="F18" s="110" t="s">
        <v>549</v>
      </c>
      <c r="G18" s="110" t="s">
        <v>550</v>
      </c>
      <c r="H18" s="103" t="s">
        <v>547</v>
      </c>
    </row>
    <row r="19" spans="3:8" x14ac:dyDescent="0.25">
      <c r="C19" s="104" t="str">
        <f>'DATA BASE CALCOLO VOLUMI'!E14</f>
        <v>0 PALLET -</v>
      </c>
      <c r="D19" s="105" t="str">
        <f>'DATA BASE CALCOLO VOLUMI'!F14</f>
        <v>-</v>
      </c>
      <c r="E19" s="160">
        <f>'SCATOLE E DIMENSIONI'!L37+'DATA BASE CALCOLO VOLUMI'!G18</f>
        <v>39.4</v>
      </c>
      <c r="F19" s="160">
        <f>'SCATOLE E DIMENSIONI'!L36</f>
        <v>33.1</v>
      </c>
      <c r="G19" s="145">
        <f>'DATA BASE CALCOLO VOLUMI'!H14+'DATA BASE CALCOLO VOLUMI'!H15+'DATA BASE CALCOLO VOLUMI'!H16+'DATA BASE CALCOLO VOLUMI'!H17</f>
        <v>0.24854374999999998</v>
      </c>
      <c r="H19" s="163">
        <f>'SCATOLE E DIMENSIONI'!L35</f>
        <v>3</v>
      </c>
    </row>
    <row r="20" spans="3:8" x14ac:dyDescent="0.25">
      <c r="C20" s="104" t="str">
        <f>'DATA BASE CALCOLO VOLUMI'!E15</f>
        <v>0 PALLET -</v>
      </c>
      <c r="D20" s="105" t="str">
        <f>'DATA BASE CALCOLO VOLUMI'!F15</f>
        <v>-</v>
      </c>
      <c r="E20" s="161"/>
      <c r="F20" s="161"/>
      <c r="G20" s="146"/>
      <c r="H20" s="164"/>
    </row>
    <row r="21" spans="3:8" x14ac:dyDescent="0.25">
      <c r="C21" s="104" t="str">
        <f>'DATA BASE CALCOLO VOLUMI'!E16</f>
        <v>0 PALLET -</v>
      </c>
      <c r="D21" s="105" t="str">
        <f>'DATA BASE CALCOLO VOLUMI'!F16</f>
        <v>-</v>
      </c>
      <c r="E21" s="161"/>
      <c r="F21" s="161"/>
      <c r="G21" s="146"/>
      <c r="H21" s="164"/>
    </row>
    <row r="22" spans="3:8" ht="15.75" thickBot="1" x14ac:dyDescent="0.3">
      <c r="C22" s="106" t="str">
        <f>'DATA BASE CALCOLO VOLUMI'!E17</f>
        <v>1 PALLET PICCOLO DA 3 SCATOLE</v>
      </c>
      <c r="D22" s="107" t="str">
        <f>'DATA BASE CALCOLO VOLUMI'!F17</f>
        <v>65 CM X H 47,5 CM X 80,5 CM</v>
      </c>
      <c r="E22" s="162"/>
      <c r="F22" s="162"/>
      <c r="G22" s="147"/>
      <c r="H22" s="165"/>
    </row>
    <row r="23" spans="3:8" ht="15.75" thickBot="1" x14ac:dyDescent="0.3">
      <c r="E23" s="85"/>
      <c r="F23" s="85"/>
      <c r="G23" s="85"/>
      <c r="H23" s="85"/>
    </row>
    <row r="24" spans="3:8" ht="15.75" thickBot="1" x14ac:dyDescent="0.3">
      <c r="C24" s="148" t="s">
        <v>551</v>
      </c>
      <c r="D24" s="149"/>
      <c r="E24" s="149"/>
      <c r="F24" s="149"/>
      <c r="G24" s="149"/>
      <c r="H24" s="150"/>
    </row>
    <row r="25" spans="3:8" ht="15.75" thickTop="1" x14ac:dyDescent="0.25">
      <c r="C25" s="111" t="s">
        <v>542</v>
      </c>
      <c r="D25" s="112" t="s">
        <v>545</v>
      </c>
      <c r="E25" s="112" t="s">
        <v>548</v>
      </c>
      <c r="F25" s="113" t="s">
        <v>549</v>
      </c>
      <c r="G25" s="113" t="s">
        <v>550</v>
      </c>
      <c r="H25" s="114" t="s">
        <v>547</v>
      </c>
    </row>
    <row r="26" spans="3:8" x14ac:dyDescent="0.25">
      <c r="C26" s="115" t="str">
        <f>'DATA BASE CALCOLO VOLUMI'!E20</f>
        <v>0 PALLET -</v>
      </c>
      <c r="D26" s="115" t="str">
        <f>'DATA BASE CALCOLO VOLUMI'!F20</f>
        <v>-</v>
      </c>
      <c r="E26" s="151">
        <f>'SCATOLE E DIMENSIONI'!Q37+'DATA BASE CALCOLO VOLUMI'!G24</f>
        <v>40.4</v>
      </c>
      <c r="F26" s="151">
        <f>'SCATOLE E DIMENSIONI'!Q36</f>
        <v>33.1</v>
      </c>
      <c r="G26" s="154">
        <f>'DATA BASE CALCOLO VOLUMI'!H20+'DATA BASE CALCOLO VOLUMI'!H21+'DATA BASE CALCOLO VOLUMI'!H22+'DATA BASE CALCOLO VOLUMI'!H23</f>
        <v>0.24854374999999998</v>
      </c>
      <c r="H26" s="157">
        <f>'SCATOLE E DIMENSIONI'!Q35</f>
        <v>4</v>
      </c>
    </row>
    <row r="27" spans="3:8" x14ac:dyDescent="0.25">
      <c r="C27" s="115" t="str">
        <f>'DATA BASE CALCOLO VOLUMI'!E21</f>
        <v>0 PALLET -</v>
      </c>
      <c r="D27" s="115" t="str">
        <f>'DATA BASE CALCOLO VOLUMI'!F21</f>
        <v>-</v>
      </c>
      <c r="E27" s="152"/>
      <c r="F27" s="152"/>
      <c r="G27" s="155"/>
      <c r="H27" s="158"/>
    </row>
    <row r="28" spans="3:8" x14ac:dyDescent="0.25">
      <c r="C28" s="115" t="str">
        <f>'DATA BASE CALCOLO VOLUMI'!E22</f>
        <v>0 PALLET -</v>
      </c>
      <c r="D28" s="115" t="str">
        <f>'DATA BASE CALCOLO VOLUMI'!F22</f>
        <v>-</v>
      </c>
      <c r="E28" s="152"/>
      <c r="F28" s="152"/>
      <c r="G28" s="155"/>
      <c r="H28" s="158"/>
    </row>
    <row r="29" spans="3:8" ht="15.75" thickBot="1" x14ac:dyDescent="0.3">
      <c r="C29" s="116" t="str">
        <f>'DATA BASE CALCOLO VOLUMI'!E23</f>
        <v>1 PALLET PICCOLO DA 4 SCATOLE</v>
      </c>
      <c r="D29" s="117" t="str">
        <f>'DATA BASE CALCOLO VOLUMI'!F23</f>
        <v>65 CM X H 47,5 CM X 80,5 CM</v>
      </c>
      <c r="E29" s="153"/>
      <c r="F29" s="153"/>
      <c r="G29" s="156"/>
      <c r="H29" s="159"/>
    </row>
  </sheetData>
  <mergeCells count="20">
    <mergeCell ref="G19:G22"/>
    <mergeCell ref="C24:H24"/>
    <mergeCell ref="E26:E29"/>
    <mergeCell ref="F26:F29"/>
    <mergeCell ref="G26:G29"/>
    <mergeCell ref="H26:H29"/>
    <mergeCell ref="E19:E22"/>
    <mergeCell ref="H19:H22"/>
    <mergeCell ref="F19:F22"/>
    <mergeCell ref="C3:H3"/>
    <mergeCell ref="E5:E8"/>
    <mergeCell ref="H5:H8"/>
    <mergeCell ref="E12:E15"/>
    <mergeCell ref="H12:H15"/>
    <mergeCell ref="C10:H10"/>
    <mergeCell ref="C17:H17"/>
    <mergeCell ref="F5:F8"/>
    <mergeCell ref="G5:G8"/>
    <mergeCell ref="F12:F15"/>
    <mergeCell ref="G12:G15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A26" zoomScale="112" zoomScaleNormal="100" workbookViewId="0">
      <selection activeCell="B9" sqref="B9"/>
    </sheetView>
  </sheetViews>
  <sheetFormatPr defaultRowHeight="15" x14ac:dyDescent="0.25"/>
  <cols>
    <col min="1" max="1" width="31.85546875" customWidth="1"/>
    <col min="2" max="2" width="15.85546875" customWidth="1"/>
    <col min="3" max="3" width="8.85546875" customWidth="1"/>
    <col min="4" max="4" width="15.28515625" customWidth="1"/>
    <col min="6" max="6" width="9" customWidth="1"/>
    <col min="7" max="7" width="13" customWidth="1"/>
    <col min="8" max="8" width="9" customWidth="1"/>
    <col min="9" max="9" width="16.5703125" customWidth="1"/>
    <col min="10" max="10" width="9" customWidth="1"/>
    <col min="11" max="11" width="9.28515625" customWidth="1"/>
    <col min="12" max="12" width="15.7109375" customWidth="1"/>
    <col min="13" max="13" width="9" customWidth="1"/>
    <col min="14" max="14" width="15.7109375" customWidth="1"/>
    <col min="15" max="16" width="9" customWidth="1"/>
    <col min="17" max="19" width="14" customWidth="1"/>
  </cols>
  <sheetData>
    <row r="1" spans="1:19" x14ac:dyDescent="0.25">
      <c r="A1" t="s">
        <v>478</v>
      </c>
    </row>
    <row r="2" spans="1:19" x14ac:dyDescent="0.25">
      <c r="A2" t="s">
        <v>477</v>
      </c>
    </row>
    <row r="3" spans="1:19" x14ac:dyDescent="0.25">
      <c r="A3" t="s">
        <v>503</v>
      </c>
    </row>
    <row r="9" spans="1:19" x14ac:dyDescent="0.25">
      <c r="B9" t="s">
        <v>0</v>
      </c>
      <c r="C9" t="s">
        <v>1</v>
      </c>
      <c r="E9" t="s">
        <v>2</v>
      </c>
    </row>
    <row r="10" spans="1:19" x14ac:dyDescent="0.25">
      <c r="A10" s="60" t="s">
        <v>504</v>
      </c>
      <c r="B10">
        <v>68</v>
      </c>
      <c r="C10">
        <v>58</v>
      </c>
      <c r="E10">
        <v>12</v>
      </c>
      <c r="F10" t="s">
        <v>505</v>
      </c>
      <c r="G10" t="s">
        <v>505</v>
      </c>
      <c r="H10" t="s">
        <v>506</v>
      </c>
    </row>
    <row r="11" spans="1:19" x14ac:dyDescent="0.25">
      <c r="A11" t="s">
        <v>507</v>
      </c>
      <c r="B11">
        <v>12</v>
      </c>
    </row>
    <row r="12" spans="1:19" x14ac:dyDescent="0.25">
      <c r="G12" t="s">
        <v>505</v>
      </c>
      <c r="H12" t="s">
        <v>508</v>
      </c>
    </row>
    <row r="15" spans="1:19" ht="15.75" thickBot="1" x14ac:dyDescent="0.3"/>
    <row r="16" spans="1:19" ht="15.75" thickBot="1" x14ac:dyDescent="0.3">
      <c r="B16" s="175" t="s">
        <v>454</v>
      </c>
      <c r="C16" s="176"/>
      <c r="D16" s="177"/>
      <c r="E16" s="42"/>
      <c r="F16" s="42"/>
      <c r="G16" s="175" t="s">
        <v>502</v>
      </c>
      <c r="H16" s="176"/>
      <c r="I16" s="177"/>
      <c r="J16" s="42"/>
      <c r="K16" s="42"/>
      <c r="L16" s="175" t="s">
        <v>455</v>
      </c>
      <c r="M16" s="176"/>
      <c r="N16" s="177"/>
      <c r="O16" s="42"/>
      <c r="P16" s="42"/>
      <c r="Q16" s="175" t="s">
        <v>551</v>
      </c>
      <c r="R16" s="176"/>
      <c r="S16" s="177"/>
    </row>
    <row r="17" spans="1:19" s="21" customFormat="1" ht="15.75" thickBot="1" x14ac:dyDescent="0.3">
      <c r="A17" s="64" t="s">
        <v>552</v>
      </c>
      <c r="B17" s="64" t="s">
        <v>451</v>
      </c>
      <c r="C17" s="65" t="s">
        <v>452</v>
      </c>
      <c r="D17" s="66" t="s">
        <v>453</v>
      </c>
      <c r="E17" s="43"/>
      <c r="F17" s="43"/>
      <c r="G17" s="64" t="s">
        <v>451</v>
      </c>
      <c r="H17" s="65" t="s">
        <v>452</v>
      </c>
      <c r="I17" s="66" t="s">
        <v>453</v>
      </c>
      <c r="J17" s="43"/>
      <c r="K17" s="43"/>
      <c r="L17" s="64" t="s">
        <v>451</v>
      </c>
      <c r="M17" s="65" t="s">
        <v>452</v>
      </c>
      <c r="N17" s="66" t="s">
        <v>453</v>
      </c>
      <c r="O17" s="43"/>
      <c r="P17" s="43"/>
      <c r="Q17" s="64" t="s">
        <v>451</v>
      </c>
      <c r="R17" s="65" t="s">
        <v>452</v>
      </c>
      <c r="S17" s="66" t="s">
        <v>453</v>
      </c>
    </row>
    <row r="18" spans="1:19" ht="15.75" thickBot="1" x14ac:dyDescent="0.3">
      <c r="A18">
        <v>20</v>
      </c>
      <c r="B18" s="64">
        <v>70</v>
      </c>
      <c r="C18" s="65">
        <v>44</v>
      </c>
      <c r="D18" s="66">
        <v>25</v>
      </c>
      <c r="E18" s="42"/>
      <c r="F18" s="42"/>
      <c r="G18" s="64">
        <v>30</v>
      </c>
      <c r="H18" s="65">
        <v>30</v>
      </c>
      <c r="I18" s="66">
        <v>14</v>
      </c>
      <c r="J18" s="42"/>
      <c r="K18" s="42"/>
      <c r="L18" s="64">
        <v>80</v>
      </c>
      <c r="M18" s="65">
        <v>60</v>
      </c>
      <c r="N18" s="66">
        <v>27</v>
      </c>
      <c r="O18" s="42"/>
      <c r="P18" s="42"/>
      <c r="Q18" s="64">
        <v>52</v>
      </c>
      <c r="R18" s="65">
        <v>44</v>
      </c>
      <c r="S18" s="66">
        <v>27</v>
      </c>
    </row>
    <row r="19" spans="1:19" ht="15.75" thickBot="1" x14ac:dyDescent="0.3">
      <c r="A19">
        <v>30</v>
      </c>
      <c r="B19" s="64">
        <v>49</v>
      </c>
      <c r="C19" s="65">
        <v>40</v>
      </c>
      <c r="D19" s="66">
        <v>25</v>
      </c>
      <c r="E19" s="42"/>
      <c r="F19" s="42"/>
      <c r="G19" s="64">
        <v>30</v>
      </c>
      <c r="H19" s="65">
        <v>26</v>
      </c>
      <c r="I19" s="66">
        <v>14</v>
      </c>
      <c r="J19" s="42"/>
      <c r="K19" s="42"/>
      <c r="L19" s="64">
        <v>70</v>
      </c>
      <c r="M19" s="65">
        <v>50</v>
      </c>
      <c r="N19" s="66">
        <v>27</v>
      </c>
      <c r="O19" s="42"/>
      <c r="P19" s="42"/>
      <c r="Q19" s="64">
        <v>52</v>
      </c>
      <c r="R19" s="65">
        <v>44</v>
      </c>
      <c r="S19" s="66">
        <v>27</v>
      </c>
    </row>
    <row r="20" spans="1:19" s="21" customFormat="1" x14ac:dyDescent="0.25">
      <c r="A20" s="38"/>
      <c r="B20" s="38" t="s">
        <v>451</v>
      </c>
      <c r="C20" s="35" t="s">
        <v>452</v>
      </c>
      <c r="D20" s="36" t="s">
        <v>453</v>
      </c>
      <c r="E20" s="43"/>
      <c r="F20" s="43"/>
      <c r="G20" s="38" t="s">
        <v>451</v>
      </c>
      <c r="H20" s="35" t="s">
        <v>452</v>
      </c>
      <c r="I20" s="36" t="s">
        <v>453</v>
      </c>
      <c r="J20" s="43"/>
      <c r="K20" s="43"/>
      <c r="L20" s="38" t="s">
        <v>451</v>
      </c>
      <c r="M20" s="35" t="s">
        <v>452</v>
      </c>
      <c r="N20" s="36" t="s">
        <v>453</v>
      </c>
      <c r="O20" s="43"/>
      <c r="P20" s="43"/>
      <c r="Q20" s="64" t="s">
        <v>451</v>
      </c>
      <c r="R20" s="65" t="s">
        <v>452</v>
      </c>
      <c r="S20" s="66" t="s">
        <v>453</v>
      </c>
    </row>
    <row r="21" spans="1:19" x14ac:dyDescent="0.25">
      <c r="A21" s="49">
        <v>20</v>
      </c>
      <c r="B21" s="28">
        <f>IFERROR(B10/B18,0)</f>
        <v>0.97142857142857142</v>
      </c>
      <c r="C21" s="29">
        <f>IFERROR(C10/C18,0)</f>
        <v>1.3181818181818181</v>
      </c>
      <c r="D21" s="30">
        <f>IFERROR(E10/D18,0)</f>
        <v>0.48</v>
      </c>
      <c r="E21" s="44"/>
      <c r="F21" s="44"/>
      <c r="G21" s="28">
        <f>IFERROR(B10/G18,0)</f>
        <v>2.2666666666666666</v>
      </c>
      <c r="H21" s="29">
        <f>IFERROR(C10/H18,0)</f>
        <v>1.9333333333333333</v>
      </c>
      <c r="I21" s="30">
        <f>IFERROR(E10/I18,0)</f>
        <v>0.8571428571428571</v>
      </c>
      <c r="J21" s="44"/>
      <c r="K21" s="44"/>
      <c r="L21" s="28">
        <f>IFERROR(B10/L18,0)</f>
        <v>0.85</v>
      </c>
      <c r="M21" s="29">
        <f t="shared" ref="M21" si="0">IFERROR(C10/M18,0)</f>
        <v>0.96666666666666667</v>
      </c>
      <c r="N21" s="30">
        <f>IFERROR(E10/N18,0)</f>
        <v>0.44444444444444442</v>
      </c>
      <c r="O21" s="44"/>
      <c r="P21" s="44"/>
      <c r="Q21" s="28">
        <f>IFERROR(B10/Q18,0)</f>
        <v>1.3076923076923077</v>
      </c>
      <c r="R21" s="29">
        <f>IFERROR(C10/R18,0)</f>
        <v>1.3181818181818181</v>
      </c>
      <c r="S21" s="30">
        <f>IFERROR(E10/27,0)</f>
        <v>0.44444444444444442</v>
      </c>
    </row>
    <row r="22" spans="1:19" ht="15.75" thickBot="1" x14ac:dyDescent="0.3">
      <c r="A22" s="49">
        <v>30</v>
      </c>
      <c r="B22" s="28">
        <f>IFERROR(B11/B19,0)</f>
        <v>0.24489795918367346</v>
      </c>
      <c r="C22" s="29">
        <f>IFERROR(C11/C19,0)</f>
        <v>0</v>
      </c>
      <c r="D22" s="30">
        <f>IFERROR(E11/D19,0)</f>
        <v>0</v>
      </c>
      <c r="E22" s="44"/>
      <c r="F22" s="44"/>
      <c r="G22" s="28">
        <f>IFERROR(B11/G19,0)</f>
        <v>0.4</v>
      </c>
      <c r="H22" s="29">
        <f>IFERROR(C11/H19,0)</f>
        <v>0</v>
      </c>
      <c r="I22" s="30">
        <f>IFERROR(E11/I19,0)</f>
        <v>0</v>
      </c>
      <c r="J22" s="44"/>
      <c r="K22" s="44"/>
      <c r="L22" s="28">
        <f t="shared" ref="L22:M22" si="1">IFERROR(B11/L19,0)</f>
        <v>0.17142857142857143</v>
      </c>
      <c r="M22" s="29">
        <f t="shared" si="1"/>
        <v>0</v>
      </c>
      <c r="N22" s="30">
        <f>IFERROR(E11/N19,0)</f>
        <v>0</v>
      </c>
      <c r="O22" s="44"/>
      <c r="P22" s="44"/>
      <c r="Q22" s="28">
        <f>IFERROR(B11/Q19,0)</f>
        <v>0.23076923076923078</v>
      </c>
      <c r="R22" s="29">
        <f>IFERROR(C11/R19,0)</f>
        <v>0</v>
      </c>
      <c r="S22" s="30">
        <f>IFERROR(E11/27,0)</f>
        <v>0</v>
      </c>
    </row>
    <row r="23" spans="1:19" ht="15.75" thickBot="1" x14ac:dyDescent="0.3">
      <c r="A23" s="34"/>
      <c r="B23" s="169">
        <f>SUM(B21:D22)</f>
        <v>3.0145083487940627</v>
      </c>
      <c r="C23" s="170"/>
      <c r="D23" s="171"/>
      <c r="E23" s="45"/>
      <c r="F23" s="45"/>
      <c r="G23" s="169">
        <f>SUM(G21:I22)</f>
        <v>5.4571428571428573</v>
      </c>
      <c r="H23" s="170"/>
      <c r="I23" s="171"/>
      <c r="J23" s="45"/>
      <c r="K23" s="45"/>
      <c r="L23" s="169">
        <f>SUM(L21:N22)</f>
        <v>2.4325396825396823</v>
      </c>
      <c r="M23" s="170"/>
      <c r="N23" s="171"/>
      <c r="O23" s="45"/>
      <c r="P23" s="45"/>
      <c r="Q23" s="169">
        <f>SUM(Q21:S22)</f>
        <v>3.3010878010878013</v>
      </c>
      <c r="R23" s="170"/>
      <c r="S23" s="171"/>
    </row>
    <row r="24" spans="1:19" s="21" customFormat="1" ht="15.75" thickBot="1" x14ac:dyDescent="0.3">
      <c r="A24" s="54" t="s">
        <v>479</v>
      </c>
      <c r="B24" s="38" t="s">
        <v>451</v>
      </c>
      <c r="C24" s="35" t="s">
        <v>452</v>
      </c>
      <c r="D24" s="36" t="s">
        <v>453</v>
      </c>
      <c r="E24" s="43"/>
      <c r="F24" s="43"/>
      <c r="G24" s="38" t="s">
        <v>451</v>
      </c>
      <c r="H24" s="35" t="s">
        <v>452</v>
      </c>
      <c r="I24" s="36" t="s">
        <v>453</v>
      </c>
      <c r="J24" s="43"/>
      <c r="K24" s="43"/>
      <c r="L24" s="38" t="s">
        <v>451</v>
      </c>
      <c r="M24" s="35" t="s">
        <v>452</v>
      </c>
      <c r="N24" s="36" t="s">
        <v>453</v>
      </c>
      <c r="O24" s="43"/>
      <c r="P24" s="43"/>
      <c r="Q24" s="64" t="s">
        <v>451</v>
      </c>
      <c r="R24" s="65" t="s">
        <v>452</v>
      </c>
      <c r="S24" s="66" t="s">
        <v>453</v>
      </c>
    </row>
    <row r="25" spans="1:19" x14ac:dyDescent="0.25">
      <c r="A25" s="52">
        <v>20</v>
      </c>
      <c r="B25" s="25">
        <f t="shared" ref="B25:D26" si="2">TRUNC(B21)</f>
        <v>0</v>
      </c>
      <c r="C25" s="26">
        <f t="shared" si="2"/>
        <v>1</v>
      </c>
      <c r="D25" s="27">
        <f t="shared" si="2"/>
        <v>0</v>
      </c>
      <c r="E25" s="46"/>
      <c r="F25" s="46"/>
      <c r="G25" s="25">
        <f t="shared" ref="G25:I26" si="3">TRUNC(G21)</f>
        <v>2</v>
      </c>
      <c r="H25" s="26">
        <f t="shared" si="3"/>
        <v>1</v>
      </c>
      <c r="I25" s="27">
        <f t="shared" si="3"/>
        <v>0</v>
      </c>
      <c r="J25" s="46"/>
      <c r="K25" s="46"/>
      <c r="L25" s="25">
        <f t="shared" ref="L25:N26" si="4">TRUNC(L21)</f>
        <v>0</v>
      </c>
      <c r="M25" s="26">
        <f t="shared" si="4"/>
        <v>0</v>
      </c>
      <c r="N25" s="27">
        <f t="shared" si="4"/>
        <v>0</v>
      </c>
      <c r="O25" s="46"/>
      <c r="P25" s="46"/>
      <c r="Q25" s="25">
        <f t="shared" ref="Q25:S25" si="5">TRUNC(Q21)</f>
        <v>1</v>
      </c>
      <c r="R25" s="26">
        <f t="shared" si="5"/>
        <v>1</v>
      </c>
      <c r="S25" s="27">
        <f t="shared" si="5"/>
        <v>0</v>
      </c>
    </row>
    <row r="26" spans="1:19" ht="15.75" thickBot="1" x14ac:dyDescent="0.3">
      <c r="A26" s="52">
        <v>30</v>
      </c>
      <c r="B26" s="28">
        <f t="shared" si="2"/>
        <v>0</v>
      </c>
      <c r="C26" s="29">
        <f t="shared" si="2"/>
        <v>0</v>
      </c>
      <c r="D26" s="30">
        <f t="shared" si="2"/>
        <v>0</v>
      </c>
      <c r="E26" s="44"/>
      <c r="F26" s="44"/>
      <c r="G26" s="28">
        <f t="shared" si="3"/>
        <v>0</v>
      </c>
      <c r="H26" s="29">
        <f t="shared" si="3"/>
        <v>0</v>
      </c>
      <c r="I26" s="30">
        <f t="shared" si="3"/>
        <v>0</v>
      </c>
      <c r="J26" s="44"/>
      <c r="K26" s="44"/>
      <c r="L26" s="28">
        <f t="shared" si="4"/>
        <v>0</v>
      </c>
      <c r="M26" s="29">
        <f t="shared" si="4"/>
        <v>0</v>
      </c>
      <c r="N26" s="30">
        <f t="shared" si="4"/>
        <v>0</v>
      </c>
      <c r="O26" s="44"/>
      <c r="P26" s="44"/>
      <c r="Q26" s="28">
        <f t="shared" ref="Q26:S26" si="6">TRUNC(Q22)</f>
        <v>0</v>
      </c>
      <c r="R26" s="29">
        <f t="shared" si="6"/>
        <v>0</v>
      </c>
      <c r="S26" s="30">
        <f t="shared" si="6"/>
        <v>0</v>
      </c>
    </row>
    <row r="27" spans="1:19" ht="15.75" thickBot="1" x14ac:dyDescent="0.3">
      <c r="A27" s="53"/>
      <c r="B27" s="169">
        <f>SUM(B25:D26)</f>
        <v>1</v>
      </c>
      <c r="C27" s="170"/>
      <c r="D27" s="171"/>
      <c r="E27" s="45"/>
      <c r="F27" s="45"/>
      <c r="G27" s="169">
        <f>SUM(G25:I26)</f>
        <v>3</v>
      </c>
      <c r="H27" s="170"/>
      <c r="I27" s="171"/>
      <c r="J27" s="45"/>
      <c r="K27" s="45"/>
      <c r="L27" s="169">
        <f>SUM(L25:N26)</f>
        <v>0</v>
      </c>
      <c r="M27" s="170"/>
      <c r="N27" s="171"/>
      <c r="O27" s="45"/>
      <c r="P27" s="45"/>
      <c r="Q27" s="169">
        <f>SUM(Q25:S26)</f>
        <v>2</v>
      </c>
      <c r="R27" s="170"/>
      <c r="S27" s="171"/>
    </row>
    <row r="28" spans="1:19" s="21" customFormat="1" ht="15.75" thickBot="1" x14ac:dyDescent="0.3">
      <c r="A28" s="54" t="s">
        <v>480</v>
      </c>
      <c r="B28" s="38" t="s">
        <v>451</v>
      </c>
      <c r="C28" s="35" t="s">
        <v>452</v>
      </c>
      <c r="D28" s="36" t="s">
        <v>453</v>
      </c>
      <c r="E28" s="43"/>
      <c r="F28" s="43"/>
      <c r="G28" s="38" t="s">
        <v>451</v>
      </c>
      <c r="H28" s="35" t="s">
        <v>452</v>
      </c>
      <c r="I28" s="36" t="s">
        <v>453</v>
      </c>
      <c r="J28" s="43"/>
      <c r="K28" s="43"/>
      <c r="L28" s="38" t="s">
        <v>451</v>
      </c>
      <c r="M28" s="35" t="s">
        <v>452</v>
      </c>
      <c r="N28" s="36" t="s">
        <v>453</v>
      </c>
      <c r="O28" s="43"/>
      <c r="P28" s="43"/>
      <c r="Q28" s="64" t="s">
        <v>451</v>
      </c>
      <c r="R28" s="65" t="s">
        <v>452</v>
      </c>
      <c r="S28" s="66" t="s">
        <v>453</v>
      </c>
    </row>
    <row r="29" spans="1:19" x14ac:dyDescent="0.25">
      <c r="A29" s="52">
        <v>20</v>
      </c>
      <c r="B29" s="25">
        <f t="shared" ref="B29:D30" si="7">(B21-B25)*B18</f>
        <v>68</v>
      </c>
      <c r="C29" s="26">
        <f t="shared" si="7"/>
        <v>13.999999999999996</v>
      </c>
      <c r="D29" s="27">
        <f t="shared" si="7"/>
        <v>12</v>
      </c>
      <c r="E29" s="46"/>
      <c r="F29" s="46"/>
      <c r="G29" s="25">
        <f t="shared" ref="G29:I30" si="8">(G21-G25)*G18</f>
        <v>7.9999999999999982</v>
      </c>
      <c r="H29" s="26">
        <f t="shared" si="8"/>
        <v>28</v>
      </c>
      <c r="I29" s="27">
        <f t="shared" si="8"/>
        <v>12</v>
      </c>
      <c r="J29" s="46"/>
      <c r="K29" s="46"/>
      <c r="L29" s="25">
        <f>(L21-L25)*L18</f>
        <v>68</v>
      </c>
      <c r="M29" s="26">
        <f t="shared" ref="M29:N29" si="9">(M21-M25)*M18</f>
        <v>58</v>
      </c>
      <c r="N29" s="27">
        <f t="shared" si="9"/>
        <v>12</v>
      </c>
      <c r="O29" s="46"/>
      <c r="P29" s="46"/>
      <c r="Q29" s="25">
        <f t="shared" ref="Q29:S30" si="10">(Q21-Q25)*Q18</f>
        <v>16</v>
      </c>
      <c r="R29" s="26">
        <f t="shared" si="10"/>
        <v>13.999999999999996</v>
      </c>
      <c r="S29" s="27">
        <f t="shared" si="10"/>
        <v>12</v>
      </c>
    </row>
    <row r="30" spans="1:19" ht="15.75" thickBot="1" x14ac:dyDescent="0.3">
      <c r="A30" s="53">
        <v>30</v>
      </c>
      <c r="B30" s="31">
        <f t="shared" si="7"/>
        <v>12</v>
      </c>
      <c r="C30" s="32">
        <f t="shared" si="7"/>
        <v>0</v>
      </c>
      <c r="D30" s="33">
        <f t="shared" si="7"/>
        <v>0</v>
      </c>
      <c r="E30" s="47"/>
      <c r="F30" s="47"/>
      <c r="G30" s="31">
        <f t="shared" si="8"/>
        <v>12</v>
      </c>
      <c r="H30" s="32">
        <f t="shared" si="8"/>
        <v>0</v>
      </c>
      <c r="I30" s="33">
        <f t="shared" si="8"/>
        <v>0</v>
      </c>
      <c r="J30" s="47"/>
      <c r="K30" s="47"/>
      <c r="L30" s="31">
        <f t="shared" ref="L30:N30" si="11">(L22-L26)*L19</f>
        <v>12</v>
      </c>
      <c r="M30" s="32">
        <f t="shared" si="11"/>
        <v>0</v>
      </c>
      <c r="N30" s="33">
        <f t="shared" si="11"/>
        <v>0</v>
      </c>
      <c r="O30" s="47"/>
      <c r="P30" s="47"/>
      <c r="Q30" s="31">
        <f t="shared" si="10"/>
        <v>12</v>
      </c>
      <c r="R30" s="32">
        <f t="shared" si="10"/>
        <v>0</v>
      </c>
      <c r="S30" s="33">
        <f t="shared" si="10"/>
        <v>0</v>
      </c>
    </row>
    <row r="31" spans="1:19" ht="15.75" thickBot="1" x14ac:dyDescent="0.3">
      <c r="A31" s="50" t="s">
        <v>481</v>
      </c>
      <c r="B31" s="172">
        <f>INT(B23-B27+1)</f>
        <v>3</v>
      </c>
      <c r="C31" s="173"/>
      <c r="D31" s="174"/>
      <c r="E31" s="55"/>
      <c r="F31" s="55"/>
      <c r="G31" s="172">
        <f>INT(G23-G27+1)</f>
        <v>3</v>
      </c>
      <c r="H31" s="173"/>
      <c r="I31" s="174"/>
      <c r="J31" s="55"/>
      <c r="K31" s="55"/>
      <c r="L31" s="172">
        <f>INT(L23-L27+1)</f>
        <v>3</v>
      </c>
      <c r="M31" s="173"/>
      <c r="N31" s="174"/>
      <c r="O31" s="55"/>
      <c r="P31" s="55"/>
      <c r="Q31" s="172">
        <f>INT(Q23-Q27+1)</f>
        <v>2</v>
      </c>
      <c r="R31" s="173"/>
      <c r="S31" s="174"/>
    </row>
    <row r="32" spans="1:19" ht="15.75" thickBot="1" x14ac:dyDescent="0.3">
      <c r="A32" s="50"/>
      <c r="B32" s="38" t="s">
        <v>451</v>
      </c>
      <c r="C32" s="35" t="s">
        <v>452</v>
      </c>
      <c r="D32" s="36" t="s">
        <v>453</v>
      </c>
      <c r="E32" s="61"/>
      <c r="F32" s="61"/>
      <c r="G32" s="38" t="s">
        <v>451</v>
      </c>
      <c r="H32" s="35" t="s">
        <v>452</v>
      </c>
      <c r="I32" s="36" t="s">
        <v>453</v>
      </c>
      <c r="J32" s="61"/>
      <c r="K32" s="61"/>
      <c r="L32" s="38" t="s">
        <v>451</v>
      </c>
      <c r="M32" s="35" t="s">
        <v>452</v>
      </c>
      <c r="N32" s="36" t="s">
        <v>453</v>
      </c>
      <c r="O32" s="61"/>
      <c r="P32" s="61"/>
      <c r="Q32" s="64" t="s">
        <v>451</v>
      </c>
      <c r="R32" s="65" t="s">
        <v>452</v>
      </c>
      <c r="S32" s="66" t="s">
        <v>453</v>
      </c>
    </row>
    <row r="33" spans="1:19" x14ac:dyDescent="0.25">
      <c r="A33" s="62">
        <v>20</v>
      </c>
      <c r="B33" s="39">
        <v>0.25</v>
      </c>
      <c r="C33" s="40">
        <v>0.35</v>
      </c>
      <c r="D33" s="41">
        <v>0.55000000000000004</v>
      </c>
      <c r="E33" s="61"/>
      <c r="F33" s="61"/>
      <c r="G33" s="39">
        <v>0.25</v>
      </c>
      <c r="H33" s="40">
        <v>0.35</v>
      </c>
      <c r="I33" s="41">
        <v>0.6</v>
      </c>
      <c r="J33" s="61"/>
      <c r="K33" s="61"/>
      <c r="L33" s="39">
        <v>0.15</v>
      </c>
      <c r="M33" s="40">
        <v>0.25</v>
      </c>
      <c r="N33" s="41">
        <v>0.45</v>
      </c>
      <c r="O33" s="61"/>
      <c r="P33" s="61"/>
      <c r="Q33" s="39">
        <v>0.15</v>
      </c>
      <c r="R33" s="40">
        <v>0.25</v>
      </c>
      <c r="S33" s="41">
        <v>0.45</v>
      </c>
    </row>
    <row r="34" spans="1:19" ht="15.75" thickBot="1" x14ac:dyDescent="0.3">
      <c r="A34" s="63">
        <v>30</v>
      </c>
      <c r="B34" s="39">
        <v>0.3</v>
      </c>
      <c r="C34" s="40">
        <v>0.4</v>
      </c>
      <c r="D34" s="41">
        <v>0.7</v>
      </c>
      <c r="E34" s="61"/>
      <c r="F34" s="61"/>
      <c r="G34" s="39">
        <v>0.3</v>
      </c>
      <c r="H34" s="40">
        <v>0.35</v>
      </c>
      <c r="I34" s="41">
        <v>0.7</v>
      </c>
      <c r="J34" s="61"/>
      <c r="K34" s="61"/>
      <c r="L34" s="39">
        <v>0.25</v>
      </c>
      <c r="M34" s="40">
        <v>0.3</v>
      </c>
      <c r="N34" s="41">
        <v>0.6</v>
      </c>
      <c r="O34" s="61"/>
      <c r="P34" s="61"/>
      <c r="Q34" s="39">
        <v>0.25</v>
      </c>
      <c r="R34" s="40">
        <v>0.3</v>
      </c>
      <c r="S34" s="41">
        <v>0.6</v>
      </c>
    </row>
    <row r="35" spans="1:19" ht="15.75" thickBot="1" x14ac:dyDescent="0.3">
      <c r="A35" s="50" t="s">
        <v>483</v>
      </c>
      <c r="B35" s="166">
        <f>B31+B27</f>
        <v>4</v>
      </c>
      <c r="C35" s="167"/>
      <c r="D35" s="168"/>
      <c r="E35" s="48"/>
      <c r="F35" s="48"/>
      <c r="G35" s="166">
        <f>G31+G27</f>
        <v>6</v>
      </c>
      <c r="H35" s="167"/>
      <c r="I35" s="168"/>
      <c r="J35" s="48"/>
      <c r="K35" s="48"/>
      <c r="L35" s="166">
        <f>L31+L27</f>
        <v>3</v>
      </c>
      <c r="M35" s="167"/>
      <c r="N35" s="168"/>
      <c r="O35" s="48"/>
      <c r="P35" s="48"/>
      <c r="Q35" s="166">
        <f>Q31+Q27</f>
        <v>4</v>
      </c>
      <c r="R35" s="167"/>
      <c r="S35" s="168"/>
    </row>
    <row r="36" spans="1:19" ht="15.75" thickBot="1" x14ac:dyDescent="0.3">
      <c r="A36" s="50" t="s">
        <v>549</v>
      </c>
      <c r="B36" s="166">
        <f>(B33*$B$10+B34*$B$11+C33*$C$10+C34*$C$11+D33*$E$10+D34*$E$11)</f>
        <v>47.5</v>
      </c>
      <c r="C36" s="167"/>
      <c r="D36" s="168"/>
      <c r="E36" s="48"/>
      <c r="F36" s="48"/>
      <c r="G36" s="166">
        <f>(G33*$B$10+G34*$B$11+H33*$C$10+H34*$C$11+I33*$E$10+I34*$E$11)</f>
        <v>48.099999999999994</v>
      </c>
      <c r="H36" s="167"/>
      <c r="I36" s="168"/>
      <c r="J36" s="48"/>
      <c r="K36" s="48"/>
      <c r="L36" s="166">
        <f>(L33*$B$10+L34*$B$11+M33*$C$10+M34*$C$11+N33*$E$10+N34*$E$11)</f>
        <v>33.1</v>
      </c>
      <c r="M36" s="167"/>
      <c r="N36" s="168"/>
      <c r="O36" s="48"/>
      <c r="P36" s="48"/>
      <c r="Q36" s="166">
        <f>(Q33*$B$10+Q34*$B$11+R33*$C$10+R34*$C$11+S33*$E$10+S34*$E$11)</f>
        <v>33.1</v>
      </c>
      <c r="R36" s="167"/>
      <c r="S36" s="168"/>
    </row>
    <row r="37" spans="1:19" ht="15.75" thickBot="1" x14ac:dyDescent="0.3">
      <c r="A37" s="50" t="s">
        <v>484</v>
      </c>
      <c r="B37" s="166">
        <f>(B33*$B$10+B34*$B$11+C33*$C$10+C34*$C$11+D33*$E$10+D34*$E$11)+B35*1</f>
        <v>51.5</v>
      </c>
      <c r="C37" s="167"/>
      <c r="D37" s="168"/>
      <c r="E37" s="48"/>
      <c r="F37" s="48"/>
      <c r="G37" s="166">
        <f>(G33*$B$10+G34*$B$11+H33*$C$10+H34*$C$11+I33*$E$10+I34*$E$11)+G35*1</f>
        <v>54.099999999999994</v>
      </c>
      <c r="H37" s="167"/>
      <c r="I37" s="168"/>
      <c r="J37" s="48"/>
      <c r="K37" s="48"/>
      <c r="L37" s="166">
        <f>(L33*$B$10+L34*$B$11+M33*$C$10+M34*$C$11+N33*$E$10+N34*$E$11)+L35*1</f>
        <v>36.1</v>
      </c>
      <c r="M37" s="167"/>
      <c r="N37" s="168"/>
      <c r="O37" s="48"/>
      <c r="P37" s="48"/>
      <c r="Q37" s="166">
        <f>(Q33*$B$10+Q34*$B$11+R33*$C$10+R34*$C$11+S33*$E$10+S34*$E$11)+Q35*1</f>
        <v>37.1</v>
      </c>
      <c r="R37" s="167"/>
      <c r="S37" s="168"/>
    </row>
    <row r="38" spans="1:19" s="37" customFormat="1" ht="165.75" hidden="1" thickBot="1" x14ac:dyDescent="0.3">
      <c r="A38" s="51" t="s">
        <v>482</v>
      </c>
      <c r="B38" s="56" t="str">
        <f>VLOOKUP(B35,DIMENSIONI!$B$3:$H$1000,2)</f>
        <v>62X83XH48</v>
      </c>
      <c r="C38" s="57"/>
      <c r="D38" s="58" t="str">
        <f>VLOOKUP(B35,DIMENSIONI!B3:H1000,7)</f>
        <v>PICCOLO</v>
      </c>
      <c r="E38" s="59"/>
      <c r="F38" s="59"/>
      <c r="G38" s="56" t="str">
        <f>VLOOKUP(G35,DIMENSIONI!$B$3:$H$1000,2)</f>
        <v>62X83X107</v>
      </c>
      <c r="H38" s="57"/>
      <c r="I38" s="58" t="str">
        <f>VLOOKUP(G35,DIMENSIONI!$B$3:$H$1000,7)</f>
        <v>PICCOLO</v>
      </c>
      <c r="J38" s="59"/>
      <c r="K38" s="59"/>
      <c r="L38" s="56" t="str">
        <f>VLOOKUP(L35,DIMENSIONI!$B$3:$H$1000,2)</f>
        <v>62X83XH48</v>
      </c>
      <c r="M38" s="57"/>
      <c r="N38" s="58" t="str">
        <f>VLOOKUP(L35,DIMENSIONI!$B$3:$H$1000,7)</f>
        <v>PICCOLO</v>
      </c>
    </row>
  </sheetData>
  <mergeCells count="28">
    <mergeCell ref="Q36:S36"/>
    <mergeCell ref="Q37:S37"/>
    <mergeCell ref="Q16:S16"/>
    <mergeCell ref="Q23:S23"/>
    <mergeCell ref="Q27:S27"/>
    <mergeCell ref="Q31:S31"/>
    <mergeCell ref="Q35:S35"/>
    <mergeCell ref="B23:D23"/>
    <mergeCell ref="G23:I23"/>
    <mergeCell ref="L23:N23"/>
    <mergeCell ref="B16:D16"/>
    <mergeCell ref="G16:I16"/>
    <mergeCell ref="L16:N16"/>
    <mergeCell ref="B27:D27"/>
    <mergeCell ref="G27:I27"/>
    <mergeCell ref="L27:N27"/>
    <mergeCell ref="B31:D31"/>
    <mergeCell ref="G31:I31"/>
    <mergeCell ref="L31:N31"/>
    <mergeCell ref="L35:N35"/>
    <mergeCell ref="B37:D37"/>
    <mergeCell ref="G37:I37"/>
    <mergeCell ref="L37:N37"/>
    <mergeCell ref="G35:I35"/>
    <mergeCell ref="B35:D35"/>
    <mergeCell ref="B36:D36"/>
    <mergeCell ref="G36:I36"/>
    <mergeCell ref="L36:N36"/>
  </mergeCells>
  <pageMargins left="0.7" right="0.7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E19" workbookViewId="0">
      <selection activeCell="P42" sqref="P42"/>
    </sheetView>
  </sheetViews>
  <sheetFormatPr defaultRowHeight="15" x14ac:dyDescent="0.25"/>
  <cols>
    <col min="2" max="2" width="33.7109375" style="67" bestFit="1" customWidth="1"/>
    <col min="12" max="12" width="9.7109375" customWidth="1"/>
    <col min="13" max="13" width="23.28515625" customWidth="1"/>
    <col min="14" max="14" width="11.7109375" customWidth="1"/>
    <col min="15" max="15" width="14.5703125" customWidth="1"/>
    <col min="16" max="16" width="22.85546875" bestFit="1" customWidth="1"/>
  </cols>
  <sheetData>
    <row r="1" spans="1:14" x14ac:dyDescent="0.25">
      <c r="C1" t="s">
        <v>515</v>
      </c>
      <c r="D1" t="s">
        <v>516</v>
      </c>
      <c r="E1" t="s">
        <v>517</v>
      </c>
      <c r="F1" t="s">
        <v>540</v>
      </c>
    </row>
    <row r="2" spans="1:14" x14ac:dyDescent="0.25">
      <c r="B2" s="67" t="s">
        <v>513</v>
      </c>
      <c r="C2">
        <v>32.5</v>
      </c>
      <c r="D2">
        <v>32</v>
      </c>
      <c r="E2">
        <v>39</v>
      </c>
    </row>
    <row r="3" spans="1:14" x14ac:dyDescent="0.25">
      <c r="B3" s="67" t="s">
        <v>512</v>
      </c>
      <c r="C3">
        <v>32</v>
      </c>
      <c r="D3">
        <v>32.5</v>
      </c>
      <c r="E3">
        <v>39</v>
      </c>
    </row>
    <row r="4" spans="1:14" x14ac:dyDescent="0.25">
      <c r="B4" s="67" t="s">
        <v>514</v>
      </c>
      <c r="C4">
        <v>32.5</v>
      </c>
      <c r="D4">
        <v>32</v>
      </c>
      <c r="E4">
        <v>39</v>
      </c>
    </row>
    <row r="5" spans="1:14" x14ac:dyDescent="0.25">
      <c r="B5" s="67" t="s">
        <v>509</v>
      </c>
      <c r="C5">
        <f>C2*2</f>
        <v>65</v>
      </c>
      <c r="D5">
        <v>15.5</v>
      </c>
      <c r="E5">
        <f>E2*2+2.5</f>
        <v>80.5</v>
      </c>
      <c r="F5">
        <f>(C5+E5)/100</f>
        <v>1.4550000000000001</v>
      </c>
    </row>
    <row r="6" spans="1:14" x14ac:dyDescent="0.25">
      <c r="B6" s="67" t="s">
        <v>510</v>
      </c>
      <c r="C6">
        <f>E3*2</f>
        <v>78</v>
      </c>
      <c r="D6">
        <v>14.5</v>
      </c>
      <c r="E6">
        <f>(C3*2)+(D3*2)</f>
        <v>129</v>
      </c>
      <c r="F6">
        <f t="shared" ref="F6:F7" si="0">(C6+E6)/100</f>
        <v>2.0699999999999998</v>
      </c>
    </row>
    <row r="7" spans="1:14" x14ac:dyDescent="0.25">
      <c r="B7" s="67" t="s">
        <v>511</v>
      </c>
      <c r="C7">
        <f>C4*3+3</f>
        <v>100.5</v>
      </c>
      <c r="D7">
        <v>15.5</v>
      </c>
      <c r="E7">
        <f>E4*3+3.5</f>
        <v>120.5</v>
      </c>
      <c r="F7">
        <f t="shared" si="0"/>
        <v>2.21</v>
      </c>
      <c r="G7">
        <f>F7+F5</f>
        <v>3.665</v>
      </c>
    </row>
    <row r="8" spans="1:14" x14ac:dyDescent="0.25">
      <c r="B8" s="67" t="s">
        <v>518</v>
      </c>
      <c r="C8">
        <v>4</v>
      </c>
      <c r="D8">
        <v>5</v>
      </c>
      <c r="F8" t="s">
        <v>521</v>
      </c>
      <c r="G8">
        <f>C8*D8</f>
        <v>20</v>
      </c>
    </row>
    <row r="9" spans="1:14" x14ac:dyDescent="0.25">
      <c r="B9" s="67" t="s">
        <v>519</v>
      </c>
      <c r="C9">
        <v>8</v>
      </c>
      <c r="D9">
        <v>6</v>
      </c>
      <c r="F9" t="s">
        <v>521</v>
      </c>
      <c r="G9">
        <f t="shared" ref="G9:G10" si="1">C9*D9</f>
        <v>48</v>
      </c>
    </row>
    <row r="10" spans="1:14" x14ac:dyDescent="0.25">
      <c r="B10" s="67" t="s">
        <v>520</v>
      </c>
      <c r="C10">
        <v>9</v>
      </c>
      <c r="D10">
        <v>6</v>
      </c>
      <c r="F10" t="s">
        <v>521</v>
      </c>
      <c r="G10">
        <f t="shared" si="1"/>
        <v>54</v>
      </c>
    </row>
    <row r="14" spans="1:14" x14ac:dyDescent="0.25">
      <c r="B14" s="67" t="s">
        <v>509</v>
      </c>
      <c r="C14">
        <f>$C$5</f>
        <v>65</v>
      </c>
      <c r="D14">
        <v>15.5</v>
      </c>
      <c r="E14">
        <f>$E$5</f>
        <v>80.5</v>
      </c>
      <c r="I14" s="69"/>
      <c r="J14" s="69" t="s">
        <v>539</v>
      </c>
      <c r="K14" s="83">
        <v>1</v>
      </c>
      <c r="L14">
        <v>20</v>
      </c>
      <c r="M14" t="s">
        <v>10</v>
      </c>
    </row>
    <row r="15" spans="1:14" x14ac:dyDescent="0.25">
      <c r="A15">
        <v>1</v>
      </c>
      <c r="B15" s="67" t="s">
        <v>522</v>
      </c>
      <c r="C15">
        <f t="shared" ref="C15:C19" si="2">$C$5</f>
        <v>65</v>
      </c>
      <c r="D15">
        <f>$D$14+A15*$D$2</f>
        <v>47.5</v>
      </c>
      <c r="E15">
        <f t="shared" ref="E15:E19" si="3">$E$5</f>
        <v>80.5</v>
      </c>
      <c r="J15" s="82"/>
      <c r="K15" s="83">
        <v>21</v>
      </c>
      <c r="L15">
        <v>48</v>
      </c>
      <c r="M15" s="60" t="s">
        <v>17</v>
      </c>
      <c r="N15" s="60"/>
    </row>
    <row r="16" spans="1:14" x14ac:dyDescent="0.25">
      <c r="A16">
        <v>2</v>
      </c>
      <c r="B16" s="68" t="s">
        <v>524</v>
      </c>
      <c r="C16">
        <f t="shared" si="2"/>
        <v>65</v>
      </c>
      <c r="D16">
        <f t="shared" ref="D16:D19" si="4">$D$14+A16*$D$2</f>
        <v>79.5</v>
      </c>
      <c r="E16">
        <f t="shared" si="3"/>
        <v>80.5</v>
      </c>
      <c r="K16" s="83">
        <v>49</v>
      </c>
      <c r="L16">
        <v>54</v>
      </c>
      <c r="M16" s="60" t="s">
        <v>25</v>
      </c>
      <c r="N16" s="60"/>
    </row>
    <row r="17" spans="1:17" x14ac:dyDescent="0.25">
      <c r="A17">
        <v>3</v>
      </c>
      <c r="B17" s="68" t="s">
        <v>523</v>
      </c>
      <c r="C17">
        <f t="shared" si="2"/>
        <v>65</v>
      </c>
      <c r="D17">
        <f t="shared" si="4"/>
        <v>111.5</v>
      </c>
      <c r="E17">
        <f t="shared" si="3"/>
        <v>80.5</v>
      </c>
      <c r="K17" s="83">
        <v>55</v>
      </c>
      <c r="L17">
        <v>68</v>
      </c>
      <c r="M17" s="60" t="s">
        <v>17</v>
      </c>
      <c r="N17" s="60" t="s">
        <v>10</v>
      </c>
      <c r="O17" s="67" t="s">
        <v>541</v>
      </c>
    </row>
    <row r="18" spans="1:17" x14ac:dyDescent="0.25">
      <c r="A18">
        <v>4</v>
      </c>
      <c r="B18" s="68" t="s">
        <v>525</v>
      </c>
      <c r="C18">
        <f t="shared" si="2"/>
        <v>65</v>
      </c>
      <c r="D18">
        <f t="shared" si="4"/>
        <v>143.5</v>
      </c>
      <c r="E18">
        <f t="shared" si="3"/>
        <v>80.5</v>
      </c>
      <c r="K18" s="83">
        <v>69</v>
      </c>
      <c r="L18">
        <v>74</v>
      </c>
      <c r="M18" s="60" t="s">
        <v>25</v>
      </c>
      <c r="N18" s="60" t="s">
        <v>10</v>
      </c>
    </row>
    <row r="19" spans="1:17" x14ac:dyDescent="0.25">
      <c r="A19">
        <v>5</v>
      </c>
      <c r="B19" s="68" t="s">
        <v>526</v>
      </c>
      <c r="C19">
        <f t="shared" si="2"/>
        <v>65</v>
      </c>
      <c r="D19">
        <f t="shared" si="4"/>
        <v>175.5</v>
      </c>
      <c r="E19">
        <f t="shared" si="3"/>
        <v>80.5</v>
      </c>
      <c r="K19" s="83">
        <v>75</v>
      </c>
      <c r="L19">
        <v>96</v>
      </c>
      <c r="M19" s="60" t="s">
        <v>17</v>
      </c>
      <c r="N19" s="60" t="s">
        <v>17</v>
      </c>
    </row>
    <row r="20" spans="1:17" x14ac:dyDescent="0.25">
      <c r="B20" s="68"/>
      <c r="K20" s="70"/>
      <c r="L20" s="72"/>
      <c r="M20" s="72"/>
    </row>
    <row r="21" spans="1:17" x14ac:dyDescent="0.25">
      <c r="B21" s="67" t="s">
        <v>510</v>
      </c>
      <c r="C21">
        <f>$C$6</f>
        <v>78</v>
      </c>
      <c r="D21">
        <v>14.5</v>
      </c>
      <c r="E21">
        <f>$E$6</f>
        <v>129</v>
      </c>
      <c r="H21" t="s">
        <v>454</v>
      </c>
      <c r="K21" s="70"/>
      <c r="L21" s="72"/>
      <c r="M21" s="72"/>
    </row>
    <row r="22" spans="1:17" ht="15.75" thickBot="1" x14ac:dyDescent="0.3">
      <c r="A22">
        <v>1</v>
      </c>
      <c r="B22" s="68" t="s">
        <v>527</v>
      </c>
      <c r="C22">
        <f t="shared" ref="C22:C27" si="5">$C$6</f>
        <v>78</v>
      </c>
      <c r="D22">
        <f>$D$21+A22*$D$3</f>
        <v>47</v>
      </c>
      <c r="E22">
        <f t="shared" ref="E22:E27" si="6">$E$6</f>
        <v>129</v>
      </c>
      <c r="I22" s="71"/>
      <c r="J22" s="71"/>
      <c r="K22" s="71"/>
      <c r="L22" s="71"/>
      <c r="M22" s="71"/>
      <c r="N22" s="71"/>
      <c r="O22" s="71"/>
      <c r="P22" s="71"/>
    </row>
    <row r="23" spans="1:17" x14ac:dyDescent="0.25">
      <c r="A23">
        <v>2</v>
      </c>
      <c r="B23" s="68" t="s">
        <v>528</v>
      </c>
      <c r="C23">
        <f t="shared" si="5"/>
        <v>78</v>
      </c>
      <c r="D23">
        <f t="shared" ref="D23:D27" si="7">$D$21+A23*$D$3</f>
        <v>79.5</v>
      </c>
      <c r="E23">
        <f t="shared" si="6"/>
        <v>129</v>
      </c>
      <c r="I23" s="80">
        <f>'SCATOLE E DIMENSIONI'!B35</f>
        <v>4</v>
      </c>
      <c r="J23" s="73">
        <f>I23-96</f>
        <v>-92</v>
      </c>
      <c r="K23" s="73">
        <f>IF(_xlfn.CEILING.MATH((J23/54))&lt;0,0,_xlfn.CEILING.MATH((J23/54)))</f>
        <v>0</v>
      </c>
      <c r="L23" s="73">
        <f>_xlfn.CEILING.MATH(K23,1)*54</f>
        <v>0</v>
      </c>
      <c r="M23" s="74">
        <f>I23-L23</f>
        <v>4</v>
      </c>
      <c r="N23" s="71"/>
      <c r="O23" s="84">
        <f>$K$23+IF(AND($M$23&gt;68,$M$23&lt;75),1,0)</f>
        <v>0</v>
      </c>
      <c r="P23" s="71" t="str">
        <f>IF(O23=0,"-",IF(O23&gt;1,"GRANDI DA 54 SCATOLE","GRANDE DA 54 SCATOLE"))</f>
        <v>-</v>
      </c>
      <c r="Q23">
        <v>54</v>
      </c>
    </row>
    <row r="24" spans="1:17" x14ac:dyDescent="0.25">
      <c r="A24">
        <v>3</v>
      </c>
      <c r="B24" s="68" t="s">
        <v>529</v>
      </c>
      <c r="C24">
        <f t="shared" si="5"/>
        <v>78</v>
      </c>
      <c r="D24">
        <f t="shared" si="7"/>
        <v>112</v>
      </c>
      <c r="E24">
        <f t="shared" si="6"/>
        <v>129</v>
      </c>
      <c r="I24" s="75"/>
      <c r="J24" s="76"/>
      <c r="K24" s="76"/>
      <c r="L24" s="76"/>
      <c r="M24" s="77"/>
      <c r="N24" s="71"/>
      <c r="O24" s="84">
        <f>IF($M$23=96,2,IF(AND($M$23&lt;69,$M$23&gt;54),1,IF($M$23&gt;75,1,0)))</f>
        <v>0</v>
      </c>
      <c r="P24" s="71" t="str">
        <f>IF(O24=0,"-",IF(O24&gt;1,"MEDI DA 48 SCATOLE","MEDIO DA 48 SCATOLE"))</f>
        <v>-</v>
      </c>
      <c r="Q24">
        <v>48</v>
      </c>
    </row>
    <row r="25" spans="1:17" x14ac:dyDescent="0.25">
      <c r="A25">
        <v>4</v>
      </c>
      <c r="B25" s="68" t="s">
        <v>530</v>
      </c>
      <c r="C25">
        <f t="shared" si="5"/>
        <v>78</v>
      </c>
      <c r="D25">
        <f t="shared" si="7"/>
        <v>144.5</v>
      </c>
      <c r="E25">
        <f t="shared" si="6"/>
        <v>129</v>
      </c>
      <c r="I25" s="75"/>
      <c r="J25" s="76"/>
      <c r="K25" s="76"/>
      <c r="L25" s="76"/>
      <c r="M25" s="77"/>
      <c r="N25" s="71"/>
      <c r="O25" s="84">
        <f>IF(M23=20,1,IF(M23=68,1,IF(M23=74,1,0)))</f>
        <v>0</v>
      </c>
      <c r="P25" s="71" t="str">
        <f>IF(O25=0,"-",IF(O25&gt;1," PICCOLI DA 20 SCATOLE","PICCOLO DA 20"))</f>
        <v>-</v>
      </c>
      <c r="Q25">
        <v>20</v>
      </c>
    </row>
    <row r="26" spans="1:17" ht="21.75" thickBot="1" x14ac:dyDescent="0.4">
      <c r="A26">
        <v>5</v>
      </c>
      <c r="B26" s="68" t="s">
        <v>531</v>
      </c>
      <c r="C26">
        <f t="shared" si="5"/>
        <v>78</v>
      </c>
      <c r="D26">
        <f t="shared" si="7"/>
        <v>177</v>
      </c>
      <c r="E26">
        <f t="shared" si="6"/>
        <v>129</v>
      </c>
      <c r="I26" s="81" t="str">
        <f>IF(K23=0,IF(M23&gt;75,"1 MEDIO DA 48 +1 MEDIO",IF(M23&lt;75*(M23&gt;68),"1 GRANDE DA 54 + 1 PICCOLO",IF(M23&lt;69*(M23&gt;54),"1 MEDIO DA 48 + 1 PICCOLO",IF(M23&lt;55*(M23&gt;48),"1 GRANDE",IF(M23&lt;49*(M23&gt;20),"1 MEDIO",IF(M23&lt;21,"1 PICCOLO")))))),CONCATENATE(K23," GRANDI DA 54 + ",IF(M23&gt;75,"1 MEDIO DA 48 +1 MEDIO",IF(M23&lt;75*(M23&gt;68),"1 GRANDE DA 54 + 1 PICCOLO",IF(M23&lt;69*(M23&gt;54),"1 MEDIO DA 48 + 1 PICCOLO",IF(M23&lt;55*(M23&gt;48),"1 GRANDE",IF(M23&lt;49*(M23&gt;20),"1 MEDIO",IF(M23&lt;21,"1 PICCOLO"))))))))</f>
        <v>1 PICCOLO</v>
      </c>
      <c r="J26" s="78"/>
      <c r="K26" s="78"/>
      <c r="L26" s="78"/>
      <c r="M26" s="79"/>
      <c r="N26" s="71">
        <f>IF((((O23*Q23)+(O24*Q24)+(O25*Q25))-I23)*(-1)=0,"-",(((O23*Q23)+(O24*Q24)+(O25*Q25))-I23)*(-1))</f>
        <v>4</v>
      </c>
      <c r="O26" s="84">
        <f>IF($N$26="-","-",IF(N26&lt;&gt;0,1,"-"))</f>
        <v>1</v>
      </c>
      <c r="P26" s="71" t="str">
        <f>IF(N26=0,"-",IF(N26&lt;21,CONCATENATE("PICCOLO DA ",N26," SCATOLE"),IF(AND(N26&lt;49,N26&gt;20),CONCATENATE("MEDIO DA ",N26," SCATOLE"),IF(AND(N26&lt;55,N26&gt;48),CONCATENATE("GRANDE DA ",N26," SCATOLE"),"-"))))</f>
        <v>PICCOLO DA 4 SCATOLE</v>
      </c>
      <c r="Q26" s="84">
        <f>N26</f>
        <v>4</v>
      </c>
    </row>
    <row r="27" spans="1:17" x14ac:dyDescent="0.25">
      <c r="A27">
        <v>6</v>
      </c>
      <c r="B27" s="68" t="s">
        <v>532</v>
      </c>
      <c r="C27">
        <f t="shared" si="5"/>
        <v>78</v>
      </c>
      <c r="D27">
        <f t="shared" si="7"/>
        <v>209.5</v>
      </c>
      <c r="E27">
        <f t="shared" si="6"/>
        <v>129</v>
      </c>
      <c r="I27" s="71"/>
      <c r="J27" s="71"/>
      <c r="K27" s="71"/>
      <c r="L27" s="71"/>
      <c r="M27" s="71"/>
      <c r="N27" s="71"/>
      <c r="O27" s="71"/>
      <c r="P27" s="71" t="str">
        <f>IF(N26=0,"-",IF(N26&lt;21,CONCATENATE("PICCOLO"),IF(AND(N26&lt;49,N26&gt;20),CONCATENATE("MEDIO"),IF(AND(N26&lt;55,N26&gt;48),CONCATENATE("GRANDE"),"-"))))</f>
        <v>PICCOLO</v>
      </c>
    </row>
    <row r="28" spans="1:17" x14ac:dyDescent="0.25">
      <c r="I28" s="71" t="str">
        <f>IF(M23&gt;75,"1 MEDIO DA 48 +1 MEDIO",IF(M23&lt;75*(M23&gt;68),"1 GRANDE DA 54 + 1 PICCOLO",IF(M23&lt;69*(M23&gt;54),"1 MEDIO DA 48 + 1 PICCOLO",IF(M23&lt;55*(M23&gt;48),"1 GRANDE",IF(M23&lt;49*(M23&gt;20),"1 MEDIO",IF(M23&lt;21,"1 PICCOLO"))))))</f>
        <v>1 PICCOLO</v>
      </c>
      <c r="J28" s="71"/>
      <c r="K28" s="71"/>
      <c r="L28" s="71"/>
      <c r="M28" s="71"/>
      <c r="N28" s="71"/>
      <c r="O28" s="71"/>
      <c r="P28" s="71"/>
    </row>
    <row r="29" spans="1:17" x14ac:dyDescent="0.25">
      <c r="B29" s="67" t="s">
        <v>511</v>
      </c>
      <c r="C29">
        <f>$C$7</f>
        <v>100.5</v>
      </c>
      <c r="D29">
        <v>15.5</v>
      </c>
      <c r="E29">
        <f>$E$7</f>
        <v>120.5</v>
      </c>
      <c r="H29" t="s">
        <v>546</v>
      </c>
      <c r="I29" s="71"/>
      <c r="J29" s="71"/>
      <c r="K29" s="71"/>
      <c r="L29" s="71"/>
      <c r="M29" s="71"/>
      <c r="N29" s="71"/>
      <c r="O29" s="71"/>
      <c r="P29" s="71"/>
    </row>
    <row r="30" spans="1:17" ht="15.75" thickBot="1" x14ac:dyDescent="0.3">
      <c r="A30">
        <v>1</v>
      </c>
      <c r="B30" s="68" t="s">
        <v>533</v>
      </c>
      <c r="C30">
        <f t="shared" ref="C30:C35" si="8">$C$7</f>
        <v>100.5</v>
      </c>
      <c r="D30">
        <f>$D$29+A30*$D$4</f>
        <v>47.5</v>
      </c>
      <c r="E30">
        <f t="shared" ref="E30:E35" si="9">$E$7</f>
        <v>120.5</v>
      </c>
      <c r="I30" s="71"/>
      <c r="J30" s="71"/>
      <c r="K30" s="71"/>
      <c r="L30" s="71"/>
      <c r="M30" s="71"/>
      <c r="N30" s="71"/>
      <c r="O30" s="71"/>
      <c r="P30" s="71"/>
    </row>
    <row r="31" spans="1:17" x14ac:dyDescent="0.25">
      <c r="A31">
        <v>2</v>
      </c>
      <c r="B31" s="68" t="s">
        <v>534</v>
      </c>
      <c r="C31">
        <f t="shared" si="8"/>
        <v>100.5</v>
      </c>
      <c r="D31">
        <f t="shared" ref="D31:D35" si="10">$D$29+A31*$D$4</f>
        <v>79.5</v>
      </c>
      <c r="E31">
        <f t="shared" si="9"/>
        <v>120.5</v>
      </c>
      <c r="I31" s="80">
        <f>'SCATOLE E DIMENSIONI'!G35</f>
        <v>6</v>
      </c>
      <c r="J31" s="73">
        <f>I31-96</f>
        <v>-90</v>
      </c>
      <c r="K31" s="73">
        <f>IF(_xlfn.CEILING.MATH((J31/54))&lt;0,0,_xlfn.CEILING.MATH((J31/54)))</f>
        <v>0</v>
      </c>
      <c r="L31" s="73">
        <f>_xlfn.CEILING.MATH(K31,1)*54</f>
        <v>0</v>
      </c>
      <c r="M31" s="74">
        <f>I31-L31</f>
        <v>6</v>
      </c>
      <c r="N31" s="71"/>
      <c r="O31" s="84">
        <f>$K$31+IF(AND($M$31&gt;68,$M$31&lt;75),1,0)</f>
        <v>0</v>
      </c>
      <c r="P31" s="71" t="str">
        <f>IF(O31=0,"-",IF(O31&gt;1,"GRANDI DA 54 SCATOLE","GRANDE DA 54 SCATOLE"))</f>
        <v>-</v>
      </c>
      <c r="Q31">
        <v>54</v>
      </c>
    </row>
    <row r="32" spans="1:17" x14ac:dyDescent="0.25">
      <c r="A32">
        <v>3</v>
      </c>
      <c r="B32" s="68" t="s">
        <v>535</v>
      </c>
      <c r="C32">
        <f t="shared" si="8"/>
        <v>100.5</v>
      </c>
      <c r="D32">
        <f t="shared" si="10"/>
        <v>111.5</v>
      </c>
      <c r="E32">
        <f t="shared" si="9"/>
        <v>120.5</v>
      </c>
      <c r="I32" s="75"/>
      <c r="J32" s="76"/>
      <c r="K32" s="76"/>
      <c r="L32" s="76"/>
      <c r="M32" s="77"/>
      <c r="N32" s="71"/>
      <c r="O32" s="84">
        <f>IF($M$31=96,2,IF(AND($M$31&lt;69,$M$31&gt;54),1,IF($M$31&gt;75,1,0)))</f>
        <v>0</v>
      </c>
      <c r="P32" s="71" t="str">
        <f>IF(O32=0,"-",IF(O32&gt;1,"MEDI DA 48 SCATOLE","MEDIO DA 48 SCATOLE"))</f>
        <v>-</v>
      </c>
      <c r="Q32">
        <v>48</v>
      </c>
    </row>
    <row r="33" spans="1:17" x14ac:dyDescent="0.25">
      <c r="A33">
        <v>4</v>
      </c>
      <c r="B33" s="68" t="s">
        <v>536</v>
      </c>
      <c r="C33">
        <f t="shared" si="8"/>
        <v>100.5</v>
      </c>
      <c r="D33">
        <f t="shared" si="10"/>
        <v>143.5</v>
      </c>
      <c r="E33">
        <f t="shared" si="9"/>
        <v>120.5</v>
      </c>
      <c r="I33" s="75"/>
      <c r="J33" s="76"/>
      <c r="K33" s="76"/>
      <c r="L33" s="76"/>
      <c r="M33" s="77"/>
      <c r="N33" s="71"/>
      <c r="O33" s="84">
        <f>IF(M31=20,1,IF(M31=68,1,IF(M31=74,1,0)))</f>
        <v>0</v>
      </c>
      <c r="P33" s="71" t="str">
        <f>IF(O33=0,"-",IF(O33&gt;1," PICCOLI DA 20 SCATOLE","PICCOLO DA 20"))</f>
        <v>-</v>
      </c>
      <c r="Q33">
        <v>20</v>
      </c>
    </row>
    <row r="34" spans="1:17" ht="21.75" thickBot="1" x14ac:dyDescent="0.4">
      <c r="A34">
        <v>5</v>
      </c>
      <c r="B34" s="68" t="s">
        <v>537</v>
      </c>
      <c r="C34">
        <f t="shared" si="8"/>
        <v>100.5</v>
      </c>
      <c r="D34">
        <f t="shared" si="10"/>
        <v>175.5</v>
      </c>
      <c r="E34">
        <f t="shared" si="9"/>
        <v>120.5</v>
      </c>
      <c r="I34" s="81" t="str">
        <f>IF(K31=0,IF(M31&gt;75,"1 MEDIO DA 48 +1 MEDIO",IF(M31&lt;75*(M31&gt;68),"1 GRANDE DA 54 + 1 PICCOLO",IF(M31&lt;69*(M31&gt;54),"1 MEDIO DA 48 + 1 PICCOLO",IF(M31&lt;55*(M31&gt;48),"1 GRANDE",IF(M31&lt;49*(M31&gt;20),"1 MEDIO",IF(M31&lt;21,"1 PICCOLO")))))),CONCATENATE(K31," GRANDI DA 54 + ",IF(M31&gt;75,"1 MEDIO DA 48 +1 MEDIO",IF(M31&lt;75*(M31&gt;68),"1 GRANDE DA 54 + 1 PICCOLO",IF(M31&lt;69*(M31&gt;54),"1 MEDIO DA 48 + 1 PICCOLO",IF(M31&lt;55*(M31&gt;48),"1 GRANDE",IF(M31&lt;49*(M31&gt;20),"1 MEDIO",IF(M31&lt;21,"1 PICCOLO"))))))))</f>
        <v>1 PICCOLO</v>
      </c>
      <c r="J34" s="78"/>
      <c r="K34" s="78"/>
      <c r="L34" s="78"/>
      <c r="M34" s="79"/>
      <c r="N34" s="71">
        <f>IF((((O31*Q31)+(O32*Q32)+(O33*Q33))-I31)*(-1)=0,"-",(((O31*Q31)+(O32*Q32)+(O33*Q33))-I31)*(-1))</f>
        <v>6</v>
      </c>
      <c r="O34" s="84">
        <f>IF($N$34="-","-",IF(N34&lt;&gt;0,1,"-"))</f>
        <v>1</v>
      </c>
      <c r="P34" s="71" t="str">
        <f>IF(N34=0,"-",IF(N34&lt;21,CONCATENATE("PICCOLO DA ",N34," SCATOLE"),IF(AND(N34&lt;49,N34&gt;20),CONCATENATE("MEDIO DA ",N34," SCATOLE"),IF(AND(N34&lt;55,N34&gt;48),CONCATENATE("GRANDE DA ",N34," SCATOLE"),"-"))))</f>
        <v>PICCOLO DA 6 SCATOLE</v>
      </c>
      <c r="Q34" s="84">
        <f>N34</f>
        <v>6</v>
      </c>
    </row>
    <row r="35" spans="1:17" x14ac:dyDescent="0.25">
      <c r="A35">
        <v>6</v>
      </c>
      <c r="B35" s="68" t="s">
        <v>538</v>
      </c>
      <c r="C35">
        <f t="shared" si="8"/>
        <v>100.5</v>
      </c>
      <c r="D35">
        <f t="shared" si="10"/>
        <v>207.5</v>
      </c>
      <c r="E35">
        <f t="shared" si="9"/>
        <v>120.5</v>
      </c>
      <c r="I35" s="71"/>
      <c r="J35" s="71"/>
      <c r="K35" s="71"/>
      <c r="L35" s="71"/>
      <c r="M35" s="71"/>
      <c r="N35" s="71"/>
      <c r="O35" s="71"/>
      <c r="P35" s="71" t="str">
        <f>IF(N34=0,"-",IF(N34&lt;21,CONCATENATE("PICCOLO"),IF(AND(N34&lt;49,N34&gt;20),CONCATENATE("MEDIO"),IF(AND(N34&lt;55,N34&gt;48),CONCATENATE("GRANDE"),"-"))))</f>
        <v>PICCOLO</v>
      </c>
    </row>
    <row r="36" spans="1:17" x14ac:dyDescent="0.25">
      <c r="I36" s="71" t="str">
        <f>IF(M31&gt;75,"1 MEDIO DA 48 +1 MEDIO",IF(M31&lt;75*(M31&gt;68),"1 GRANDE DA 54 + 1 PICCOLO",IF(M31&lt;69*(M31&gt;54),"1 MEDIO DA 48 + 1 PICCOLO",IF(M31&lt;55*(M31&gt;48),"1 GRANDE",IF(M31&lt;49*(M31&gt;20),"1 MEDIO",IF(M31&lt;21,"1 PICCOLO"))))))</f>
        <v>1 PICCOLO</v>
      </c>
      <c r="J36" s="71"/>
      <c r="K36" s="71"/>
      <c r="L36" s="71"/>
      <c r="M36" s="71"/>
      <c r="N36" s="71"/>
      <c r="O36" s="71"/>
      <c r="P36" s="71"/>
    </row>
    <row r="37" spans="1:17" x14ac:dyDescent="0.25">
      <c r="H37" t="s">
        <v>455</v>
      </c>
      <c r="K37" s="70"/>
    </row>
    <row r="38" spans="1:17" ht="15.75" thickBot="1" x14ac:dyDescent="0.3">
      <c r="K38" s="70"/>
    </row>
    <row r="39" spans="1:17" x14ac:dyDescent="0.25">
      <c r="I39" s="80">
        <f>'SCATOLE E DIMENSIONI'!L35</f>
        <v>3</v>
      </c>
      <c r="J39" s="73">
        <f>I39-96</f>
        <v>-93</v>
      </c>
      <c r="K39" s="73">
        <f>IF(_xlfn.CEILING.MATH((J39/54))&lt;0,0,_xlfn.CEILING.MATH((J39/54)))</f>
        <v>0</v>
      </c>
      <c r="L39" s="73">
        <f>_xlfn.CEILING.MATH(K39,1)*54</f>
        <v>0</v>
      </c>
      <c r="M39" s="74">
        <f>I39-L39</f>
        <v>3</v>
      </c>
      <c r="N39" s="71"/>
      <c r="O39" s="84">
        <f>$K$39+IF(AND($M$39&gt;68,$M$39&lt;75),1,0)</f>
        <v>0</v>
      </c>
      <c r="P39" s="71" t="str">
        <f>IF(O39=0,"-",IF(O39&gt;1,"GRANDI DA 54 SCATOLE","GRANDE DA 54 SCATOLE"))</f>
        <v>-</v>
      </c>
      <c r="Q39">
        <v>54</v>
      </c>
    </row>
    <row r="40" spans="1:17" x14ac:dyDescent="0.25">
      <c r="I40" s="75"/>
      <c r="J40" s="76"/>
      <c r="K40" s="76"/>
      <c r="L40" s="76"/>
      <c r="M40" s="77"/>
      <c r="N40" s="71"/>
      <c r="O40" s="84">
        <f>IF($M$39=96,2,IF(AND($M$39&lt;69,$M$39&gt;54),1,IF($M$39&gt;75,1,0)))</f>
        <v>0</v>
      </c>
      <c r="P40" s="71" t="str">
        <f>IF(O40=0,"-",IF(O40&gt;1,"MEDI DA 48 SCATOLE","MEDIO DA 48 SCATOLE"))</f>
        <v>-</v>
      </c>
      <c r="Q40">
        <v>48</v>
      </c>
    </row>
    <row r="41" spans="1:17" x14ac:dyDescent="0.25">
      <c r="I41" s="75"/>
      <c r="J41" s="76"/>
      <c r="K41" s="76"/>
      <c r="L41" s="76"/>
      <c r="M41" s="77"/>
      <c r="N41" s="71"/>
      <c r="O41" s="84">
        <f>IF(M39=20,1,IF(M39=68,1,IF(M39=74,1,0)))</f>
        <v>0</v>
      </c>
      <c r="P41" s="71" t="str">
        <f>IF(O41=0,"-",IF(O41&gt;1," PICCOLI DA 20 SCATOLE","PICCOLO DA 20"))</f>
        <v>-</v>
      </c>
      <c r="Q41">
        <v>20</v>
      </c>
    </row>
    <row r="42" spans="1:17" ht="21.75" thickBot="1" x14ac:dyDescent="0.4">
      <c r="I42" s="81" t="str">
        <f>IF(K39=0,IF(M39&gt;75,"1 MEDIO DA 48 +1 MEDIO",IF(M39&lt;75*(M39&gt;68),"1 GRANDE DA 54 + 1 PICCOLO",IF(M39&lt;69*(M39&gt;54),"1 MEDIO DA 48 + 1 PICCOLO",IF(M39&lt;55*(M39&gt;48),"1 GRANDE",IF(M39&lt;49*(M39&gt;20),"1 MEDIO",IF(M39&lt;21,"1 PICCOLO")))))),CONCATENATE(K39," GRANDI DA 54 + ",IF(M39&gt;75,"1 MEDIO DA 48 +1 MEDIO",IF(M39&lt;75*(M39&gt;68),"1 GRANDE DA 54 + 1 PICCOLO",IF(M39&lt;69*(M39&gt;54),"1 MEDIO DA 48 + 1 PICCOLO",IF(M39&lt;55*(M39&gt;48),"1 GRANDE",IF(M39&lt;49*(M39&gt;20),"1 MEDIO",IF(M39&lt;21,"1 PICCOLO"))))))))</f>
        <v>1 PICCOLO</v>
      </c>
      <c r="J42" s="78"/>
      <c r="K42" s="78"/>
      <c r="L42" s="78"/>
      <c r="M42" s="79"/>
      <c r="N42" s="71">
        <f>IF((((O39*Q39)+(O40*Q40)+(O41*Q41))-I39)*(-1)=0,"-",(((O39*Q39)+(O40*Q40)+(O41*Q41))-I39)*(-1))</f>
        <v>3</v>
      </c>
      <c r="O42" s="84">
        <f>IF($N$39="-","-",IF(N42&lt;&gt;0,1,"-"))</f>
        <v>1</v>
      </c>
      <c r="P42" s="71" t="str">
        <f>IF(N42=0,"-",IF(N42&lt;21,CONCATENATE("PICCOLO DA ",N42," SCATOLE"),IF(AND(N42&lt;49,N42&gt;20),CONCATENATE("MEDIO DA ",N42," SCATOLE"),IF(AND(N42&lt;55,N42&gt;48),CONCATENATE("GRANDE DA ",N42," SCATOLE"),"-"))))</f>
        <v>PICCOLO DA 3 SCATOLE</v>
      </c>
      <c r="Q42" s="84">
        <f>N42</f>
        <v>3</v>
      </c>
    </row>
    <row r="43" spans="1:17" x14ac:dyDescent="0.25">
      <c r="I43" s="71"/>
      <c r="J43" s="71"/>
      <c r="K43" s="71"/>
      <c r="L43" s="71"/>
      <c r="M43" s="71"/>
      <c r="N43" s="71"/>
      <c r="O43" s="71"/>
      <c r="P43" s="71" t="str">
        <f>IF(N42=0,"-",IF(N42&lt;21,CONCATENATE("PICCOLO"),IF(AND(N42&lt;49,N42&gt;20),CONCATENATE("MEDIO"),IF(AND(N42&lt;55,N42&gt;48),CONCATENATE("GRANDE"),"-"))))</f>
        <v>PICCOLO</v>
      </c>
    </row>
    <row r="44" spans="1:17" x14ac:dyDescent="0.25">
      <c r="I44" s="71" t="str">
        <f>IF(M39&gt;75,"1 MEDIO DA 48 +1 MEDIO",IF(M39&lt;75*(M39&gt;68),"1 GRANDE DA 54 + 1 PICCOLO",IF(M39&lt;69*(M39&gt;54),"1 MEDIO DA 48 + 1 PICCOLO",IF(M39&lt;55*(M39&gt;48),"1 GRANDE",IF(M39&lt;49*(M39&gt;20),"1 MEDIO",IF(M39&lt;21,"1 PICCOLO"))))))</f>
        <v>1 PICCOLO</v>
      </c>
      <c r="J44" s="71"/>
      <c r="K44" s="71"/>
      <c r="L44" s="71"/>
      <c r="M44" s="71"/>
      <c r="N44" s="71"/>
      <c r="O44" s="71"/>
      <c r="P44" s="71"/>
    </row>
    <row r="46" spans="1:17" x14ac:dyDescent="0.25">
      <c r="H46" t="s">
        <v>551</v>
      </c>
      <c r="K46" s="70"/>
    </row>
    <row r="47" spans="1:17" ht="15.75" thickBot="1" x14ac:dyDescent="0.3">
      <c r="K47" s="70"/>
    </row>
    <row r="48" spans="1:17" x14ac:dyDescent="0.25">
      <c r="I48" s="80">
        <f>'SCATOLE E DIMENSIONI'!Q35</f>
        <v>4</v>
      </c>
      <c r="J48" s="73">
        <f>I48-96</f>
        <v>-92</v>
      </c>
      <c r="K48" s="73">
        <f>IF(_xlfn.CEILING.MATH((J48/54))&lt;0,0,_xlfn.CEILING.MATH((J48/54)))</f>
        <v>0</v>
      </c>
      <c r="L48" s="73">
        <f>_xlfn.CEILING.MATH(K48,1)*54</f>
        <v>0</v>
      </c>
      <c r="M48" s="74">
        <f>I48-L48</f>
        <v>4</v>
      </c>
      <c r="N48" s="71"/>
      <c r="O48" s="84">
        <f>$K$48+IF(AND($M$48&gt;68,$M$48&lt;75),1,0)</f>
        <v>0</v>
      </c>
      <c r="P48" s="71" t="str">
        <f>IF(O48=0,"-",IF(O48&gt;1,"GRANDI DA 54 SCATOLE","GRANDE DA 54 SCATOLE"))</f>
        <v>-</v>
      </c>
      <c r="Q48">
        <v>54</v>
      </c>
    </row>
    <row r="49" spans="9:17" x14ac:dyDescent="0.25">
      <c r="I49" s="75"/>
      <c r="J49" s="76"/>
      <c r="K49" s="76"/>
      <c r="L49" s="76"/>
      <c r="M49" s="77"/>
      <c r="N49" s="71"/>
      <c r="O49" s="84">
        <f>IF($M$48=96,2,IF(AND($M$48&lt;69,$M$48&gt;54),1,IF($M$48&gt;75,1,0)))</f>
        <v>0</v>
      </c>
      <c r="P49" s="71" t="str">
        <f>IF(O49=0,"-",IF(O49&gt;1,"MEDI DA 48 SCATOLE","MEDIO DA 48 SCATOLE"))</f>
        <v>-</v>
      </c>
      <c r="Q49">
        <v>48</v>
      </c>
    </row>
    <row r="50" spans="9:17" x14ac:dyDescent="0.25">
      <c r="I50" s="75"/>
      <c r="J50" s="76"/>
      <c r="K50" s="76"/>
      <c r="L50" s="76"/>
      <c r="M50" s="77"/>
      <c r="N50" s="71"/>
      <c r="O50" s="84">
        <f>IF(M48=20,1,IF(M48=68,1,IF(M48=74,1,0)))</f>
        <v>0</v>
      </c>
      <c r="P50" s="71" t="str">
        <f>IF(O50=0,"-",IF(O50&gt;1," PICCOLI DA 20 SCATOLE","PICCOLO DA 20"))</f>
        <v>-</v>
      </c>
      <c r="Q50">
        <v>20</v>
      </c>
    </row>
    <row r="51" spans="9:17" ht="21.75" thickBot="1" x14ac:dyDescent="0.4">
      <c r="I51" s="81" t="str">
        <f>IF(K48=0,IF(M48&gt;75,"1 MEDIO DA 48 +1 MEDIO",IF(M48&lt;75*(M48&gt;68),"1 GRANDE DA 54 + 1 PICCOLO",IF(M48&lt;69*(M48&gt;54),"1 MEDIO DA 48 + 1 PICCOLO",IF(M48&lt;55*(M48&gt;48),"1 GRANDE",IF(M48&lt;49*(M48&gt;20),"1 MEDIO",IF(M48&lt;21,"1 PICCOLO")))))),CONCATENATE(K48," GRANDI DA 54 + ",IF(M48&gt;75,"1 MEDIO DA 48 +1 MEDIO",IF(M48&lt;75*(M48&gt;68),"1 GRANDE DA 54 + 1 PICCOLO",IF(M48&lt;69*(M48&gt;54),"1 MEDIO DA 48 + 1 PICCOLO",IF(M48&lt;55*(M48&gt;48),"1 GRANDE",IF(M48&lt;49*(M48&gt;20),"1 MEDIO",IF(M48&lt;21,"1 PICCOLO"))))))))</f>
        <v>1 PICCOLO</v>
      </c>
      <c r="J51" s="78"/>
      <c r="K51" s="78"/>
      <c r="L51" s="78"/>
      <c r="M51" s="79"/>
      <c r="N51" s="71">
        <f>IF((((O48*Q48)+(O49*Q49)+(O50*Q50))-I48)*(-1)=0,"-",(((O48*Q48)+(O49*Q49)+(O50*Q50))-I48)*(-1))</f>
        <v>4</v>
      </c>
      <c r="O51" s="84">
        <f>IF($N$51="-","-",IF(N51&lt;&gt;0,1,"-"))</f>
        <v>1</v>
      </c>
      <c r="P51" s="71" t="str">
        <f>IF(N51=0,"-",IF(N51&lt;21,CONCATENATE("PICCOLO DA ",N51," SCATOLE"),IF(AND(N51&lt;49,N51&gt;20),CONCATENATE("MEDIO DA ",N51," SCATOLE"),IF(AND(N51&lt;55,N51&gt;48),CONCATENATE("GRANDE DA ",N51," SCATOLE"),"-"))))</f>
        <v>PICCOLO DA 4 SCATOLE</v>
      </c>
      <c r="Q51" s="84">
        <f>N51</f>
        <v>4</v>
      </c>
    </row>
    <row r="52" spans="9:17" x14ac:dyDescent="0.25">
      <c r="I52" s="71"/>
      <c r="J52" s="71"/>
      <c r="K52" s="71"/>
      <c r="L52" s="71"/>
      <c r="M52" s="71"/>
      <c r="N52" s="71"/>
      <c r="O52" s="71"/>
      <c r="P52" s="71" t="str">
        <f>IF(N51=0,"-",IF(N51&lt;21,CONCATENATE("PICCOLO"),IF(AND(N51&lt;49,N51&gt;20),CONCATENATE("MEDIO"),IF(AND(N51&lt;55,N51&gt;48),CONCATENATE("GRANDE"),"-"))))</f>
        <v>PICCOLO</v>
      </c>
    </row>
    <row r="53" spans="9:17" x14ac:dyDescent="0.25">
      <c r="I53" s="71" t="str">
        <f>IF(M48&gt;75,"1 MEDIO DA 48 +1 MEDIO",IF(M48&lt;75*(M48&gt;68),"1 GRANDE DA 54 + 1 PICCOLO",IF(M48&lt;69*(M48&gt;54),"1 MEDIO DA 48 + 1 PICCOLO",IF(M48&lt;55*(M48&gt;48),"1 GRANDE",IF(M48&lt;49*(M48&gt;20),"1 MEDIO",IF(M48&lt;21,"1 PICCOLO"))))))</f>
        <v>1 PICCOLO</v>
      </c>
      <c r="J53" s="71"/>
      <c r="K53" s="71"/>
      <c r="L53" s="71"/>
      <c r="M53" s="71"/>
      <c r="N53" s="71"/>
      <c r="O53" s="71"/>
      <c r="P53" s="71"/>
    </row>
  </sheetData>
  <phoneticPr fontId="7" type="noConversion"/>
  <pageMargins left="0.7" right="0.7" top="0.75" bottom="0.75" header="0.3" footer="0.3"/>
  <pageSetup paperSize="9" orientation="portrait" horizontalDpi="0" verticalDpi="0" r:id="rId1"/>
  <ignoredErrors>
    <ignoredError sqref="B23 B31" twoDigitTextYear="1"/>
    <ignoredError sqref="O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opLeftCell="B1" workbookViewId="0">
      <selection activeCell="F23" sqref="F23"/>
    </sheetView>
  </sheetViews>
  <sheetFormatPr defaultRowHeight="15" x14ac:dyDescent="0.25"/>
  <cols>
    <col min="2" max="2" width="20.5703125" bestFit="1" customWidth="1"/>
    <col min="3" max="3" width="28" bestFit="1" customWidth="1"/>
    <col min="5" max="5" width="28.5703125" bestFit="1" customWidth="1"/>
    <col min="6" max="6" width="29.42578125" bestFit="1" customWidth="1"/>
    <col min="11" max="11" width="33.7109375" bestFit="1" customWidth="1"/>
    <col min="15" max="15" width="29.42578125" bestFit="1" customWidth="1"/>
  </cols>
  <sheetData>
    <row r="1" spans="2:16" x14ac:dyDescent="0.25">
      <c r="B1" t="s">
        <v>542</v>
      </c>
      <c r="C1" t="s">
        <v>543</v>
      </c>
      <c r="D1" t="s">
        <v>521</v>
      </c>
      <c r="L1" s="67" t="s">
        <v>515</v>
      </c>
      <c r="M1" t="s">
        <v>516</v>
      </c>
      <c r="N1" t="s">
        <v>517</v>
      </c>
    </row>
    <row r="2" spans="2:16" x14ac:dyDescent="0.25">
      <c r="B2" s="84">
        <f>'DATA BASE OTTIMIZZAZIONE PALLET'!O23</f>
        <v>0</v>
      </c>
      <c r="C2" s="84" t="str">
        <f>'DATA BASE OTTIMIZZAZIONE PALLET'!P23</f>
        <v>-</v>
      </c>
      <c r="D2" s="84">
        <f>'DATA BASE OTTIMIZZAZIONE PALLET'!Q23</f>
        <v>54</v>
      </c>
      <c r="E2" s="84" t="str">
        <f>CONCATENATE(B2," PALLET ",C2)</f>
        <v>0 PALLET -</v>
      </c>
      <c r="F2" s="84" t="str">
        <f>IF(B2=0,"-",CONCATENATE($L$25," CM X H ",$M$25," CM X ",$N$25," CM"))</f>
        <v>-</v>
      </c>
      <c r="G2">
        <f>B2*6.2</f>
        <v>0</v>
      </c>
      <c r="H2">
        <f>B2*$P$25</f>
        <v>0</v>
      </c>
      <c r="K2" t="s">
        <v>513</v>
      </c>
      <c r="L2" s="67">
        <v>32.5</v>
      </c>
      <c r="M2">
        <v>32</v>
      </c>
      <c r="N2">
        <v>39</v>
      </c>
    </row>
    <row r="3" spans="2:16" x14ac:dyDescent="0.25">
      <c r="B3" s="84">
        <f>'DATA BASE OTTIMIZZAZIONE PALLET'!O24</f>
        <v>0</v>
      </c>
      <c r="C3" s="84" t="str">
        <f>'DATA BASE OTTIMIZZAZIONE PALLET'!P24</f>
        <v>-</v>
      </c>
      <c r="D3" s="84">
        <f>'DATA BASE OTTIMIZZAZIONE PALLET'!Q24</f>
        <v>48</v>
      </c>
      <c r="E3" s="84" t="str">
        <f t="shared" ref="E3:E5" si="0">CONCATENATE(B3," PALLET ",C3)</f>
        <v>0 PALLET -</v>
      </c>
      <c r="F3" s="84" t="str">
        <f>IF(B3=0,"-",CONCATENATE($L$24," CM X H ",$M$24," CM X ",$N$24," CM"))</f>
        <v>-</v>
      </c>
      <c r="G3">
        <f>4.7*B3</f>
        <v>0</v>
      </c>
      <c r="H3">
        <f>B3*$P$24</f>
        <v>0</v>
      </c>
      <c r="K3" t="s">
        <v>512</v>
      </c>
      <c r="L3" s="67">
        <v>32</v>
      </c>
      <c r="M3">
        <v>32.5</v>
      </c>
      <c r="N3">
        <v>39</v>
      </c>
    </row>
    <row r="4" spans="2:16" x14ac:dyDescent="0.25">
      <c r="B4" s="84">
        <f>'DATA BASE OTTIMIZZAZIONE PALLET'!O25</f>
        <v>0</v>
      </c>
      <c r="C4" s="84" t="str">
        <f>'DATA BASE OTTIMIZZAZIONE PALLET'!P25</f>
        <v>-</v>
      </c>
      <c r="D4" s="84">
        <f>'DATA BASE OTTIMIZZAZIONE PALLET'!Q25</f>
        <v>20</v>
      </c>
      <c r="E4" s="84" t="str">
        <f t="shared" si="0"/>
        <v>0 PALLET -</v>
      </c>
      <c r="F4" s="84" t="str">
        <f>IF(B4=0,"-",CONCATENATE($L$20," CM X H ",$M$20," CM X ",$N$20," CM"))</f>
        <v>-</v>
      </c>
      <c r="G4">
        <f>B4*3.3</f>
        <v>0</v>
      </c>
      <c r="H4">
        <f>B4*$P$20</f>
        <v>0</v>
      </c>
      <c r="K4" t="s">
        <v>514</v>
      </c>
      <c r="L4" s="67">
        <v>32.5</v>
      </c>
      <c r="M4">
        <v>32</v>
      </c>
      <c r="N4">
        <v>39</v>
      </c>
    </row>
    <row r="5" spans="2:16" x14ac:dyDescent="0.25">
      <c r="B5" s="84">
        <f>'DATA BASE OTTIMIZZAZIONE PALLET'!O26</f>
        <v>1</v>
      </c>
      <c r="C5" s="84" t="str">
        <f>'DATA BASE OTTIMIZZAZIONE PALLET'!P26</f>
        <v>PICCOLO DA 4 SCATOLE</v>
      </c>
      <c r="D5" s="84">
        <f>'DATA BASE OTTIMIZZAZIONE PALLET'!Q26</f>
        <v>4</v>
      </c>
      <c r="E5" s="84" t="str">
        <f t="shared" si="0"/>
        <v>1 PALLET PICCOLO DA 4 SCATOLE</v>
      </c>
      <c r="F5" s="84" t="str">
        <f>IF(D5&lt;5,O16,IF(AND(D5&lt;9,D5&gt;4),O17,IF(AND(D5&lt;13,D5&gt;8),O18,IF(AND(D5&lt;17,D5&gt;12),O19,IF(AND(D5&lt;21,D5&gt;16),O20,IF(AND(D5&lt;25,D5&gt;20),O21,IF(AND(D5&lt;33,D5&gt;24),O22,IF(AND(D5&lt;41,D5&gt;32),O23,IF(AND(D5&lt;49,D5&gt;40),O24,O25)))))))))</f>
        <v>65 CM X H 47,5 CM X 80,5 CM</v>
      </c>
      <c r="G5">
        <f>IF('DATA BASE OTTIMIZZAZIONE PALLET'!P27="GRANDE",6.2,IF('DATA BASE OTTIMIZZAZIONE PALLET'!P27="MEDIO",4.7,3.3))</f>
        <v>3.3</v>
      </c>
      <c r="H5">
        <f>IF(D5&lt;5,P16,IF(AND(D5&lt;9,D5&gt;4),P17,IF(AND(D5&lt;13,D5&gt;8),P18,IF(AND(D5&lt;17,D5&gt;12),P19,IF(AND(D5&lt;21,D5&gt;16),P20,IF(AND(D5&lt;25,D5&gt;20),P21,IF(AND(D5&lt;33,D5&gt;24),P22,IF(AND(D5&lt;41,D5&gt;32),P23,IF(AND(D5&lt;49,D5&gt;40),P24,P25)))))))))</f>
        <v>0.24854374999999998</v>
      </c>
      <c r="K5" t="s">
        <v>509</v>
      </c>
      <c r="L5" s="67">
        <v>65</v>
      </c>
      <c r="M5">
        <v>15.5</v>
      </c>
      <c r="N5">
        <v>80.5</v>
      </c>
    </row>
    <row r="6" spans="2:16" x14ac:dyDescent="0.25">
      <c r="B6" s="84"/>
      <c r="C6" s="84"/>
      <c r="D6" s="84"/>
      <c r="E6" s="84"/>
      <c r="F6" s="84"/>
      <c r="G6">
        <f>SUM(G2:G5)</f>
        <v>3.3</v>
      </c>
      <c r="K6" t="s">
        <v>510</v>
      </c>
      <c r="L6" s="67">
        <v>78</v>
      </c>
      <c r="M6">
        <v>14.5</v>
      </c>
      <c r="N6">
        <v>129</v>
      </c>
    </row>
    <row r="7" spans="2:16" x14ac:dyDescent="0.25">
      <c r="B7" s="84"/>
      <c r="C7" s="84"/>
      <c r="D7" s="84"/>
      <c r="E7" s="84"/>
      <c r="F7" s="84"/>
      <c r="K7" t="s">
        <v>511</v>
      </c>
      <c r="L7" s="67">
        <v>100.5</v>
      </c>
      <c r="M7">
        <v>15.5</v>
      </c>
      <c r="N7">
        <v>120.5</v>
      </c>
    </row>
    <row r="8" spans="2:16" x14ac:dyDescent="0.25">
      <c r="B8" s="84"/>
      <c r="C8" s="84"/>
      <c r="D8" s="84"/>
      <c r="E8" s="84"/>
      <c r="F8" s="84"/>
      <c r="K8" t="s">
        <v>518</v>
      </c>
      <c r="L8" s="67">
        <v>4</v>
      </c>
      <c r="M8">
        <v>5</v>
      </c>
    </row>
    <row r="9" spans="2:16" x14ac:dyDescent="0.25">
      <c r="B9" s="84">
        <f>'DATA BASE OTTIMIZZAZIONE PALLET'!O31</f>
        <v>0</v>
      </c>
      <c r="C9" s="84" t="str">
        <f>'DATA BASE OTTIMIZZAZIONE PALLET'!P31</f>
        <v>-</v>
      </c>
      <c r="D9" s="84">
        <f>'DATA BASE OTTIMIZZAZIONE PALLET'!Q31</f>
        <v>54</v>
      </c>
      <c r="E9" s="84" t="str">
        <f>CONCATENATE(B9," PALLET ",C9)</f>
        <v>0 PALLET -</v>
      </c>
      <c r="F9" s="84" t="str">
        <f>IF(B9=0,"-",CONCATENATE($L$25," CM X H ",$M$25," CM X ",$N$25," CM"))</f>
        <v>-</v>
      </c>
      <c r="G9">
        <f>B9*6.2</f>
        <v>0</v>
      </c>
      <c r="H9">
        <f>B9*$P$25</f>
        <v>0</v>
      </c>
      <c r="K9" t="s">
        <v>519</v>
      </c>
      <c r="L9" s="67">
        <v>8</v>
      </c>
      <c r="M9">
        <v>6</v>
      </c>
    </row>
    <row r="10" spans="2:16" x14ac:dyDescent="0.25">
      <c r="B10" s="84">
        <f>'DATA BASE OTTIMIZZAZIONE PALLET'!O32</f>
        <v>0</v>
      </c>
      <c r="C10" s="84" t="str">
        <f>'DATA BASE OTTIMIZZAZIONE PALLET'!P32</f>
        <v>-</v>
      </c>
      <c r="D10" s="84">
        <f>'DATA BASE OTTIMIZZAZIONE PALLET'!Q32</f>
        <v>48</v>
      </c>
      <c r="E10" s="84" t="str">
        <f t="shared" ref="E10:E12" si="1">CONCATENATE(B10," PALLET ",C10)</f>
        <v>0 PALLET -</v>
      </c>
      <c r="F10" s="84" t="str">
        <f>IF(B10=0,"-",CONCATENATE($L$24," CM X H ",$M$24," CM X ",$N$24," CM"))</f>
        <v>-</v>
      </c>
      <c r="G10">
        <f>4.7*B10</f>
        <v>0</v>
      </c>
      <c r="H10">
        <f>B10*$P$24</f>
        <v>0</v>
      </c>
      <c r="K10" t="s">
        <v>520</v>
      </c>
      <c r="L10" s="67">
        <v>9</v>
      </c>
      <c r="M10">
        <v>6</v>
      </c>
    </row>
    <row r="11" spans="2:16" x14ac:dyDescent="0.25">
      <c r="B11" s="84">
        <f>'DATA BASE OTTIMIZZAZIONE PALLET'!O33</f>
        <v>0</v>
      </c>
      <c r="C11" s="84" t="str">
        <f>'DATA BASE OTTIMIZZAZIONE PALLET'!P33</f>
        <v>-</v>
      </c>
      <c r="D11" s="84">
        <f>'DATA BASE OTTIMIZZAZIONE PALLET'!Q33</f>
        <v>20</v>
      </c>
      <c r="E11" s="84" t="str">
        <f t="shared" si="1"/>
        <v>0 PALLET -</v>
      </c>
      <c r="F11" s="84" t="str">
        <f>IF(B11=0,"-",CONCATENATE($L$20," CM X H ",$M$20," CM X ",$N$20," CM"))</f>
        <v>-</v>
      </c>
      <c r="G11">
        <f>B11*3.3</f>
        <v>0</v>
      </c>
      <c r="H11">
        <f>B11*$P$20</f>
        <v>0</v>
      </c>
      <c r="L11" s="67"/>
    </row>
    <row r="12" spans="2:16" x14ac:dyDescent="0.25">
      <c r="B12" s="84">
        <f>'DATA BASE OTTIMIZZAZIONE PALLET'!O34</f>
        <v>1</v>
      </c>
      <c r="C12" s="84" t="str">
        <f>'DATA BASE OTTIMIZZAZIONE PALLET'!P34</f>
        <v>PICCOLO DA 6 SCATOLE</v>
      </c>
      <c r="D12" s="84">
        <f>'DATA BASE OTTIMIZZAZIONE PALLET'!Q34</f>
        <v>6</v>
      </c>
      <c r="E12" s="84" t="str">
        <f t="shared" si="1"/>
        <v>1 PALLET PICCOLO DA 6 SCATOLE</v>
      </c>
      <c r="F12" s="84" t="str">
        <f>IF(D12&lt;5,O16,IF(AND(D12&lt;9,D12&gt;4),O17,IF(AND(D12&lt;13,D12&gt;8),O18,IF(AND(D12&lt;17,D12&gt;12),O19,IF(AND(D12&lt;21,D12&gt;16),O20,IF(AND(D12&lt;25,D12&gt;20),O21,IF(AND(D12&lt;33,D12&gt;24),O22,IF(AND(D12&lt;41,D12&gt;32),O23,IF(AND(D12&lt;49,D12&gt;40),O24,O25)))))))))</f>
        <v>65 CM X H 79,5 CM X 80,5 CM</v>
      </c>
      <c r="G12">
        <f>IF('DATA BASE OTTIMIZZAZIONE PALLET'!P34="GRANDE",6.2,IF('DATA BASE OTTIMIZZAZIONE PALLET'!P34="MEDIO",4.7,3.3))</f>
        <v>3.3</v>
      </c>
      <c r="H12">
        <f>IF(D12&lt;5,P16,IF(AND(D12&lt;9,D12&gt;4),P17,IF(AND(D12&lt;13,D12&gt;8),P18,IF(AND(D12&lt;17,D12&gt;12),P19,IF(AND(D12&lt;21,D12&gt;16),P20,IF(AND(D12&lt;25,D12&gt;20),P21,IF(AND(D12&lt;33,D12&gt;24),P22,IF(AND(D12&lt;41,D12&gt;32),P23,IF(AND(D12&lt;49,D12&gt;40),P24,P25)))))))))</f>
        <v>0.41598375000000004</v>
      </c>
      <c r="L12" s="67"/>
    </row>
    <row r="13" spans="2:16" x14ac:dyDescent="0.25">
      <c r="B13" s="84"/>
      <c r="C13" s="84"/>
      <c r="D13" s="84"/>
      <c r="E13" s="84"/>
      <c r="F13" s="84"/>
      <c r="G13">
        <f>SUM(G9:G12)</f>
        <v>3.3</v>
      </c>
      <c r="L13" s="67"/>
    </row>
    <row r="14" spans="2:16" x14ac:dyDescent="0.25">
      <c r="B14" s="84">
        <f>'DATA BASE OTTIMIZZAZIONE PALLET'!O39</f>
        <v>0</v>
      </c>
      <c r="C14" s="84" t="str">
        <f>'DATA BASE OTTIMIZZAZIONE PALLET'!P39</f>
        <v>-</v>
      </c>
      <c r="D14" s="84">
        <f>'DATA BASE OTTIMIZZAZIONE PALLET'!Q39</f>
        <v>54</v>
      </c>
      <c r="E14" s="84" t="str">
        <f>CONCATENATE(B14," PALLET ",C14)</f>
        <v>0 PALLET -</v>
      </c>
      <c r="F14" s="84" t="str">
        <f>IF(B14=0,"-",CONCATENATE($L$25," CM X H ",$M$25," CM X ",$N$25," CM"))</f>
        <v>-</v>
      </c>
      <c r="G14">
        <f>B14*6.2</f>
        <v>0</v>
      </c>
      <c r="H14">
        <f>B14*$P$25</f>
        <v>0</v>
      </c>
      <c r="L14" s="67"/>
    </row>
    <row r="15" spans="2:16" x14ac:dyDescent="0.25">
      <c r="B15" s="84">
        <f>'DATA BASE OTTIMIZZAZIONE PALLET'!O40</f>
        <v>0</v>
      </c>
      <c r="C15" s="84" t="str">
        <f>'DATA BASE OTTIMIZZAZIONE PALLET'!P40</f>
        <v>-</v>
      </c>
      <c r="D15" s="84">
        <f>'DATA BASE OTTIMIZZAZIONE PALLET'!Q40</f>
        <v>48</v>
      </c>
      <c r="E15" s="84" t="str">
        <f t="shared" ref="E15:E17" si="2">CONCATENATE(B15," PALLET ",C15)</f>
        <v>0 PALLET -</v>
      </c>
      <c r="F15" s="84" t="str">
        <f>IF(B15=0,"-",CONCATENATE($L$24," CM X H ",$M$24," CM X ",$N$24," CM"))</f>
        <v>-</v>
      </c>
      <c r="G15">
        <f>4.7*B15</f>
        <v>0</v>
      </c>
      <c r="H15">
        <f>B15*$P$24</f>
        <v>0</v>
      </c>
      <c r="K15" t="s">
        <v>544</v>
      </c>
      <c r="L15" s="67"/>
      <c r="P15" t="s">
        <v>550</v>
      </c>
    </row>
    <row r="16" spans="2:16" x14ac:dyDescent="0.25">
      <c r="B16" s="84">
        <f>'DATA BASE OTTIMIZZAZIONE PALLET'!O41</f>
        <v>0</v>
      </c>
      <c r="C16" s="84" t="str">
        <f>'DATA BASE OTTIMIZZAZIONE PALLET'!P41</f>
        <v>-</v>
      </c>
      <c r="D16" s="84">
        <f>'DATA BASE OTTIMIZZAZIONE PALLET'!Q41</f>
        <v>20</v>
      </c>
      <c r="E16" s="84" t="str">
        <f t="shared" si="2"/>
        <v>0 PALLET -</v>
      </c>
      <c r="F16" s="84" t="str">
        <f>IF(B16=0,"-",CONCATENATE($L$20," CM X H ",$M$20," CM X ",$N$20," CM"))</f>
        <v>-</v>
      </c>
      <c r="G16">
        <f>B16*3.3</f>
        <v>0</v>
      </c>
      <c r="H16">
        <f>B16*$P$20</f>
        <v>0</v>
      </c>
      <c r="K16" t="s">
        <v>522</v>
      </c>
      <c r="L16" s="67">
        <f>'DATA BASE OTTIMIZZAZIONE PALLET'!C15</f>
        <v>65</v>
      </c>
      <c r="M16" s="67">
        <f>'DATA BASE OTTIMIZZAZIONE PALLET'!D15</f>
        <v>47.5</v>
      </c>
      <c r="N16" s="67">
        <f>'DATA BASE OTTIMIZZAZIONE PALLET'!E15</f>
        <v>80.5</v>
      </c>
      <c r="O16" t="str">
        <f>CONCATENATE(L16," CM X H ",M16," CM X ",N16," CM")</f>
        <v>65 CM X H 47,5 CM X 80,5 CM</v>
      </c>
      <c r="P16">
        <f>(L16/100)*(M16/100)*(N16/100)</f>
        <v>0.24854374999999998</v>
      </c>
    </row>
    <row r="17" spans="2:16" x14ac:dyDescent="0.25">
      <c r="B17" s="84">
        <f>'DATA BASE OTTIMIZZAZIONE PALLET'!O42</f>
        <v>1</v>
      </c>
      <c r="C17" s="84" t="str">
        <f>'DATA BASE OTTIMIZZAZIONE PALLET'!P42</f>
        <v>PICCOLO DA 3 SCATOLE</v>
      </c>
      <c r="D17" s="84">
        <f>'DATA BASE OTTIMIZZAZIONE PALLET'!Q42</f>
        <v>3</v>
      </c>
      <c r="E17" s="84" t="str">
        <f t="shared" si="2"/>
        <v>1 PALLET PICCOLO DA 3 SCATOLE</v>
      </c>
      <c r="F17" s="84" t="str">
        <f>IF(D17&lt;5,O16,IF(AND(D17&lt;9,D17&gt;4),O17,IF(AND(D17&lt;13,D17&gt;8),O18,IF(AND(D17&lt;17,D17&gt;12),O19,IF(AND(D17&lt;21,D17&gt;16),O20,IF(AND(D17&lt;25,D17&gt;20),O21,IF(AND(D17&lt;33,D17&gt;24),O22,IF(AND(D17&lt;41,D17&gt;32),O23,IF(AND(D17&lt;49,D17&gt;40),O24,O25)))))))))</f>
        <v>65 CM X H 47,5 CM X 80,5 CM</v>
      </c>
      <c r="G17">
        <f>IF('DATA BASE OTTIMIZZAZIONE PALLET'!P39="GRANDE",6.2,IF('DATA BASE OTTIMIZZAZIONE PALLET'!P39="MEDIO",4.7,3.3))</f>
        <v>3.3</v>
      </c>
      <c r="H17">
        <f>IF(D17&lt;5,P16,IF(AND(D17&lt;9,D17&gt;4),P17,IF(AND(D17&lt;13,D17&gt;8),P18,IF(AND(D17&lt;17,D17&gt;12),P19,IF(AND(D17&lt;21,D17&gt;16),P20,IF(AND(D17&lt;25,D17&gt;20),P21,IF(AND(D17&lt;33,D17&gt;24),P22,IF(AND(D17&lt;41,D17&gt;32),P23,IF(AND(D17&lt;49,D17&gt;40),P24,P25)))))))))</f>
        <v>0.24854374999999998</v>
      </c>
      <c r="K17" t="s">
        <v>524</v>
      </c>
      <c r="L17" s="67">
        <f>'DATA BASE OTTIMIZZAZIONE PALLET'!C16</f>
        <v>65</v>
      </c>
      <c r="M17" s="67">
        <f>'DATA BASE OTTIMIZZAZIONE PALLET'!D16</f>
        <v>79.5</v>
      </c>
      <c r="N17" s="67">
        <f>'DATA BASE OTTIMIZZAZIONE PALLET'!E16</f>
        <v>80.5</v>
      </c>
      <c r="O17" t="str">
        <f t="shared" ref="O17:O25" si="3">CONCATENATE(L17," CM X H ",M17," CM X ",N17," CM")</f>
        <v>65 CM X H 79,5 CM X 80,5 CM</v>
      </c>
      <c r="P17">
        <f t="shared" ref="P17:P25" si="4">(L17/100)*(M17/100)*(N17/100)</f>
        <v>0.41598375000000004</v>
      </c>
    </row>
    <row r="18" spans="2:16" x14ac:dyDescent="0.25">
      <c r="B18" s="84"/>
      <c r="C18" s="84"/>
      <c r="D18" s="84"/>
      <c r="E18" s="84"/>
      <c r="F18" s="84"/>
      <c r="G18">
        <f>SUM(G14:G17)</f>
        <v>3.3</v>
      </c>
      <c r="K18" t="s">
        <v>523</v>
      </c>
      <c r="L18" s="67">
        <f>'DATA BASE OTTIMIZZAZIONE PALLET'!C17</f>
        <v>65</v>
      </c>
      <c r="M18" s="67">
        <f>'DATA BASE OTTIMIZZAZIONE PALLET'!D17</f>
        <v>111.5</v>
      </c>
      <c r="N18" s="67">
        <f>'DATA BASE OTTIMIZZAZIONE PALLET'!E17</f>
        <v>80.5</v>
      </c>
      <c r="O18" t="str">
        <f t="shared" si="3"/>
        <v>65 CM X H 111,5 CM X 80,5 CM</v>
      </c>
      <c r="P18">
        <f t="shared" si="4"/>
        <v>0.58342375000000002</v>
      </c>
    </row>
    <row r="19" spans="2:16" x14ac:dyDescent="0.25">
      <c r="C19" t="str">
        <f>IF(B6=0,CONCATENATE(B7,C7),CONCATENATE(B6," PALLET ",C6))</f>
        <v/>
      </c>
      <c r="K19" t="s">
        <v>525</v>
      </c>
      <c r="L19" s="67">
        <f>'DATA BASE OTTIMIZZAZIONE PALLET'!C18</f>
        <v>65</v>
      </c>
      <c r="M19" s="67">
        <f>'DATA BASE OTTIMIZZAZIONE PALLET'!D18</f>
        <v>143.5</v>
      </c>
      <c r="N19" s="67">
        <f>'DATA BASE OTTIMIZZAZIONE PALLET'!E18</f>
        <v>80.5</v>
      </c>
      <c r="O19" t="str">
        <f t="shared" si="3"/>
        <v>65 CM X H 143,5 CM X 80,5 CM</v>
      </c>
      <c r="P19">
        <f t="shared" si="4"/>
        <v>0.75086375000000016</v>
      </c>
    </row>
    <row r="20" spans="2:16" x14ac:dyDescent="0.25">
      <c r="B20" s="84">
        <f>'DATA BASE OTTIMIZZAZIONE PALLET'!O48</f>
        <v>0</v>
      </c>
      <c r="C20" s="84" t="str">
        <f>'DATA BASE OTTIMIZZAZIONE PALLET'!P48</f>
        <v>-</v>
      </c>
      <c r="D20" s="84">
        <f>'DATA BASE OTTIMIZZAZIONE PALLET'!Q48</f>
        <v>54</v>
      </c>
      <c r="E20" s="84" t="str">
        <f>CONCATENATE(B20," PALLET ",C20)</f>
        <v>0 PALLET -</v>
      </c>
      <c r="F20" s="84" t="str">
        <f>IF(B20=0,"-",CONCATENATE($L$25," CM X H ",$M$25," CM X ",$N$25," CM"))</f>
        <v>-</v>
      </c>
      <c r="G20">
        <f>B20*6.2</f>
        <v>0</v>
      </c>
      <c r="H20">
        <f>B20*$P$25</f>
        <v>0</v>
      </c>
      <c r="K20" t="s">
        <v>526</v>
      </c>
      <c r="L20" s="67">
        <f>'DATA BASE OTTIMIZZAZIONE PALLET'!C19</f>
        <v>65</v>
      </c>
      <c r="M20" s="67">
        <f>'DATA BASE OTTIMIZZAZIONE PALLET'!D19</f>
        <v>175.5</v>
      </c>
      <c r="N20" s="67">
        <f>'DATA BASE OTTIMIZZAZIONE PALLET'!E19</f>
        <v>80.5</v>
      </c>
      <c r="O20" t="str">
        <f t="shared" si="3"/>
        <v>65 CM X H 175,5 CM X 80,5 CM</v>
      </c>
      <c r="P20">
        <f t="shared" si="4"/>
        <v>0.91830374999999997</v>
      </c>
    </row>
    <row r="21" spans="2:16" x14ac:dyDescent="0.25">
      <c r="B21" s="84">
        <f>'DATA BASE OTTIMIZZAZIONE PALLET'!O49</f>
        <v>0</v>
      </c>
      <c r="C21" s="84" t="str">
        <f>'DATA BASE OTTIMIZZAZIONE PALLET'!P49</f>
        <v>-</v>
      </c>
      <c r="D21" s="84">
        <f>'DATA BASE OTTIMIZZAZIONE PALLET'!Q49</f>
        <v>48</v>
      </c>
      <c r="E21" s="84" t="str">
        <f t="shared" ref="E21:E23" si="5">CONCATENATE(B21," PALLET ",C21)</f>
        <v>0 PALLET -</v>
      </c>
      <c r="F21" s="84" t="str">
        <f>IF(B21=0,"-",CONCATENATE($L$24," CM X H ",$M$24," CM X ",$N$24," CM"))</f>
        <v>-</v>
      </c>
      <c r="G21">
        <f>4.7*B21</f>
        <v>0</v>
      </c>
      <c r="H21">
        <f>B21*$P$24</f>
        <v>0</v>
      </c>
      <c r="K21" t="s">
        <v>529</v>
      </c>
      <c r="L21" s="67">
        <f>'DATA BASE OTTIMIZZAZIONE PALLET'!C24</f>
        <v>78</v>
      </c>
      <c r="M21" s="67">
        <f>'DATA BASE OTTIMIZZAZIONE PALLET'!D24</f>
        <v>112</v>
      </c>
      <c r="N21" s="67">
        <f>'DATA BASE OTTIMIZZAZIONE PALLET'!E24</f>
        <v>129</v>
      </c>
      <c r="O21" t="str">
        <f t="shared" si="3"/>
        <v>78 CM X H 112 CM X 129 CM</v>
      </c>
      <c r="P21">
        <f t="shared" si="4"/>
        <v>1.1269440000000002</v>
      </c>
    </row>
    <row r="22" spans="2:16" x14ac:dyDescent="0.25">
      <c r="B22" s="84">
        <f>'DATA BASE OTTIMIZZAZIONE PALLET'!O50</f>
        <v>0</v>
      </c>
      <c r="C22" s="84" t="str">
        <f>'DATA BASE OTTIMIZZAZIONE PALLET'!P50</f>
        <v>-</v>
      </c>
      <c r="D22" s="84">
        <f>'DATA BASE OTTIMIZZAZIONE PALLET'!Q50</f>
        <v>20</v>
      </c>
      <c r="E22" s="84" t="str">
        <f t="shared" si="5"/>
        <v>0 PALLET -</v>
      </c>
      <c r="F22" s="84" t="str">
        <f>IF(B22=0,"-",CONCATENATE($L$20," CM X H ",$M$20," CM X ",$N$20," CM"))</f>
        <v>-</v>
      </c>
      <c r="G22">
        <f>B22*3.3</f>
        <v>0</v>
      </c>
      <c r="H22">
        <f>B22*$P$20</f>
        <v>0</v>
      </c>
      <c r="K22" t="s">
        <v>530</v>
      </c>
      <c r="L22" s="67">
        <f>'DATA BASE OTTIMIZZAZIONE PALLET'!C25</f>
        <v>78</v>
      </c>
      <c r="M22" s="67">
        <f>'DATA BASE OTTIMIZZAZIONE PALLET'!D25</f>
        <v>144.5</v>
      </c>
      <c r="N22" s="67">
        <f>'DATA BASE OTTIMIZZAZIONE PALLET'!E25</f>
        <v>129</v>
      </c>
      <c r="O22" t="str">
        <f t="shared" si="3"/>
        <v>78 CM X H 144,5 CM X 129 CM</v>
      </c>
      <c r="P22">
        <f t="shared" si="4"/>
        <v>1.453959</v>
      </c>
    </row>
    <row r="23" spans="2:16" x14ac:dyDescent="0.25">
      <c r="B23" s="84">
        <f>'DATA BASE OTTIMIZZAZIONE PALLET'!O51</f>
        <v>1</v>
      </c>
      <c r="C23" s="84" t="str">
        <f>'DATA BASE OTTIMIZZAZIONE PALLET'!P51</f>
        <v>PICCOLO DA 4 SCATOLE</v>
      </c>
      <c r="D23" s="84">
        <f>'DATA BASE OTTIMIZZAZIONE PALLET'!Q51</f>
        <v>4</v>
      </c>
      <c r="E23" s="84" t="str">
        <f t="shared" si="5"/>
        <v>1 PALLET PICCOLO DA 4 SCATOLE</v>
      </c>
      <c r="F23" s="84" t="str">
        <f>IF(D23&lt;5,O16,IF(AND(D23&lt;9,D23&gt;4),O17,IF(AND(D23&lt;13,D23&gt;8),O18,IF(AND(D23&lt;17,D23&gt;12),O19,IF(AND(D23&lt;21,D23&gt;16),O20,IF(AND(D23&lt;25,D23&gt;20),O21,IF(AND(D23&lt;33,D23&gt;24),O22,IF(AND(D23&lt;41,D23&gt;32),O23,IF(AND(D23&lt;49,D23&gt;40),O24,O25)))))))))</f>
        <v>65 CM X H 47,5 CM X 80,5 CM</v>
      </c>
      <c r="G23">
        <f>IF('DATA BASE OTTIMIZZAZIONE PALLET'!P45="GRANDE",6.2,IF('DATA BASE OTTIMIZZAZIONE PALLET'!P45="MEDIO",4.7,3.3))</f>
        <v>3.3</v>
      </c>
      <c r="H23">
        <f>IF(D23&lt;5,P16,IF(AND(D23&lt;9,D23&gt;4),P17,IF(AND(D23&lt;13,D23&gt;8),P18,IF(AND(D23&lt;17,D23&gt;12),P19,IF(AND(D23&lt;21,D23&gt;16),P20,IF(AND(D23&lt;25,D23&gt;20),P21,IF(AND(D23&lt;33,D23&gt;24),P22,IF(AND(D23&lt;41,D23&gt;32),P23,IF(AND(D23&lt;49,D23&gt;40),P24,P25)))))))))</f>
        <v>0.24854374999999998</v>
      </c>
      <c r="K23" t="s">
        <v>531</v>
      </c>
      <c r="L23" s="67">
        <f>'DATA BASE OTTIMIZZAZIONE PALLET'!C26</f>
        <v>78</v>
      </c>
      <c r="M23" s="67">
        <f>'DATA BASE OTTIMIZZAZIONE PALLET'!D26</f>
        <v>177</v>
      </c>
      <c r="N23" s="67">
        <f>'DATA BASE OTTIMIZZAZIONE PALLET'!E26</f>
        <v>129</v>
      </c>
      <c r="O23" t="str">
        <f t="shared" si="3"/>
        <v>78 CM X H 177 CM X 129 CM</v>
      </c>
      <c r="P23">
        <f t="shared" si="4"/>
        <v>1.7809740000000001</v>
      </c>
    </row>
    <row r="24" spans="2:16" x14ac:dyDescent="0.25">
      <c r="B24" s="84"/>
      <c r="C24" s="84"/>
      <c r="D24" s="84"/>
      <c r="E24" s="84"/>
      <c r="F24" s="84"/>
      <c r="G24">
        <f>SUM(G20:G23)</f>
        <v>3.3</v>
      </c>
      <c r="K24" t="s">
        <v>532</v>
      </c>
      <c r="L24" s="67">
        <f>'DATA BASE OTTIMIZZAZIONE PALLET'!C27</f>
        <v>78</v>
      </c>
      <c r="M24" s="67">
        <f>'DATA BASE OTTIMIZZAZIONE PALLET'!D27</f>
        <v>209.5</v>
      </c>
      <c r="N24" s="67">
        <f>'DATA BASE OTTIMIZZAZIONE PALLET'!E27</f>
        <v>129</v>
      </c>
      <c r="O24" t="str">
        <f t="shared" si="3"/>
        <v>78 CM X H 209,5 CM X 129 CM</v>
      </c>
      <c r="P24">
        <f t="shared" si="4"/>
        <v>2.1079890000000003</v>
      </c>
    </row>
    <row r="25" spans="2:16" x14ac:dyDescent="0.25">
      <c r="K25" t="s">
        <v>538</v>
      </c>
      <c r="L25" s="67">
        <f>'DATA BASE OTTIMIZZAZIONE PALLET'!C35</f>
        <v>100.5</v>
      </c>
      <c r="M25" s="67">
        <f>'DATA BASE OTTIMIZZAZIONE PALLET'!D35</f>
        <v>207.5</v>
      </c>
      <c r="N25" s="67">
        <f>'DATA BASE OTTIMIZZAZIONE PALLET'!E35</f>
        <v>120.5</v>
      </c>
      <c r="O25" t="str">
        <f t="shared" si="3"/>
        <v>100,5 CM X H 207,5 CM X 120,5 CM</v>
      </c>
      <c r="P25">
        <f t="shared" si="4"/>
        <v>2.5128768750000003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view="pageBreakPreview" zoomScale="85" zoomScaleNormal="85" zoomScaleSheetLayoutView="85" workbookViewId="0">
      <selection activeCell="N80" sqref="N80"/>
    </sheetView>
  </sheetViews>
  <sheetFormatPr defaultRowHeight="15" x14ac:dyDescent="0.25"/>
  <cols>
    <col min="7" max="7" width="1.5703125" customWidth="1"/>
  </cols>
  <sheetData>
    <row r="1" spans="1:8" ht="46.5" x14ac:dyDescent="0.7">
      <c r="A1" s="24" t="s">
        <v>469</v>
      </c>
      <c r="B1" s="23"/>
    </row>
    <row r="2" spans="1:8" ht="26.25" x14ac:dyDescent="0.4">
      <c r="A2" s="22" t="s">
        <v>463</v>
      </c>
      <c r="H2" s="22" t="s">
        <v>464</v>
      </c>
    </row>
    <row r="6" spans="1:8" x14ac:dyDescent="0.25">
      <c r="A6" t="s">
        <v>456</v>
      </c>
      <c r="H6" t="s">
        <v>458</v>
      </c>
    </row>
    <row r="7" spans="1:8" x14ac:dyDescent="0.25">
      <c r="A7" t="s">
        <v>467</v>
      </c>
      <c r="H7" t="s">
        <v>466</v>
      </c>
    </row>
    <row r="8" spans="1:8" x14ac:dyDescent="0.25">
      <c r="A8" t="s">
        <v>457</v>
      </c>
      <c r="H8" t="s">
        <v>465</v>
      </c>
    </row>
    <row r="9" spans="1:8" x14ac:dyDescent="0.25">
      <c r="A9" t="s">
        <v>485</v>
      </c>
      <c r="H9" s="23" t="s">
        <v>459</v>
      </c>
    </row>
    <row r="10" spans="1:8" x14ac:dyDescent="0.25">
      <c r="A10" t="s">
        <v>486</v>
      </c>
    </row>
    <row r="11" spans="1:8" x14ac:dyDescent="0.25">
      <c r="A11" t="s">
        <v>487</v>
      </c>
    </row>
    <row r="12" spans="1:8" x14ac:dyDescent="0.25">
      <c r="A12" t="s">
        <v>488</v>
      </c>
    </row>
    <row r="13" spans="1:8" x14ac:dyDescent="0.25">
      <c r="A13" t="s">
        <v>489</v>
      </c>
    </row>
    <row r="14" spans="1:8" x14ac:dyDescent="0.25">
      <c r="A14" t="s">
        <v>490</v>
      </c>
    </row>
    <row r="19" spans="1:11" x14ac:dyDescent="0.25">
      <c r="D19" t="s">
        <v>460</v>
      </c>
      <c r="K19" t="s">
        <v>460</v>
      </c>
    </row>
    <row r="20" spans="1:11" x14ac:dyDescent="0.25">
      <c r="D20" t="s">
        <v>461</v>
      </c>
      <c r="K20" t="s">
        <v>461</v>
      </c>
    </row>
    <row r="21" spans="1:11" x14ac:dyDescent="0.25">
      <c r="K21" t="s">
        <v>462</v>
      </c>
    </row>
    <row r="24" spans="1:11" ht="46.5" x14ac:dyDescent="0.7">
      <c r="A24" s="24" t="s">
        <v>470</v>
      </c>
    </row>
    <row r="26" spans="1:11" ht="26.25" x14ac:dyDescent="0.4">
      <c r="A26" s="22" t="s">
        <v>463</v>
      </c>
      <c r="H26" s="22" t="s">
        <v>464</v>
      </c>
    </row>
    <row r="30" spans="1:11" x14ac:dyDescent="0.25">
      <c r="A30" t="s">
        <v>468</v>
      </c>
      <c r="H30" t="s">
        <v>458</v>
      </c>
    </row>
    <row r="31" spans="1:11" x14ac:dyDescent="0.25">
      <c r="A31" t="s">
        <v>467</v>
      </c>
      <c r="H31" t="s">
        <v>466</v>
      </c>
    </row>
    <row r="32" spans="1:11" x14ac:dyDescent="0.25">
      <c r="A32" t="s">
        <v>457</v>
      </c>
      <c r="H32" t="s">
        <v>465</v>
      </c>
    </row>
    <row r="33" spans="1:8" x14ac:dyDescent="0.25">
      <c r="A33" t="s">
        <v>485</v>
      </c>
      <c r="H33" s="23" t="s">
        <v>459</v>
      </c>
    </row>
    <row r="34" spans="1:8" x14ac:dyDescent="0.25">
      <c r="A34" t="s">
        <v>486</v>
      </c>
    </row>
    <row r="35" spans="1:8" x14ac:dyDescent="0.25">
      <c r="A35" t="s">
        <v>487</v>
      </c>
    </row>
    <row r="36" spans="1:8" x14ac:dyDescent="0.25">
      <c r="A36" t="s">
        <v>488</v>
      </c>
    </row>
    <row r="37" spans="1:8" x14ac:dyDescent="0.25">
      <c r="A37" t="s">
        <v>489</v>
      </c>
    </row>
    <row r="38" spans="1:8" x14ac:dyDescent="0.25">
      <c r="A38" t="s">
        <v>490</v>
      </c>
    </row>
    <row r="43" spans="1:8" x14ac:dyDescent="0.25">
      <c r="D43" t="s">
        <v>472</v>
      </c>
    </row>
    <row r="44" spans="1:8" x14ac:dyDescent="0.25">
      <c r="D44" t="s">
        <v>461</v>
      </c>
    </row>
    <row r="47" spans="1:8" ht="46.5" x14ac:dyDescent="0.7">
      <c r="A47" s="24" t="s">
        <v>471</v>
      </c>
      <c r="B47" s="23"/>
    </row>
    <row r="48" spans="1:8" ht="26.25" x14ac:dyDescent="0.4">
      <c r="A48" s="22" t="s">
        <v>463</v>
      </c>
      <c r="H48" s="22" t="s">
        <v>464</v>
      </c>
    </row>
    <row r="53" spans="1:8" x14ac:dyDescent="0.25">
      <c r="A53" t="s">
        <v>473</v>
      </c>
      <c r="H53" t="s">
        <v>474</v>
      </c>
    </row>
    <row r="54" spans="1:8" x14ac:dyDescent="0.25">
      <c r="A54" t="s">
        <v>467</v>
      </c>
      <c r="H54" t="s">
        <v>466</v>
      </c>
    </row>
    <row r="55" spans="1:8" x14ac:dyDescent="0.25">
      <c r="A55" t="s">
        <v>457</v>
      </c>
      <c r="H55" t="s">
        <v>465</v>
      </c>
    </row>
    <row r="56" spans="1:8" x14ac:dyDescent="0.25">
      <c r="A56" t="s">
        <v>485</v>
      </c>
      <c r="H56" s="23" t="s">
        <v>459</v>
      </c>
    </row>
    <row r="57" spans="1:8" x14ac:dyDescent="0.25">
      <c r="A57" t="s">
        <v>486</v>
      </c>
    </row>
    <row r="58" spans="1:8" x14ac:dyDescent="0.25">
      <c r="A58" t="s">
        <v>487</v>
      </c>
    </row>
    <row r="59" spans="1:8" x14ac:dyDescent="0.25">
      <c r="A59" t="s">
        <v>488</v>
      </c>
    </row>
    <row r="60" spans="1:8" x14ac:dyDescent="0.25">
      <c r="A60" t="s">
        <v>489</v>
      </c>
    </row>
    <row r="61" spans="1:8" x14ac:dyDescent="0.25">
      <c r="A61" t="s">
        <v>490</v>
      </c>
    </row>
    <row r="66" spans="1:8" ht="46.5" x14ac:dyDescent="0.7">
      <c r="A66" s="24" t="s">
        <v>475</v>
      </c>
      <c r="B66" s="23"/>
    </row>
    <row r="67" spans="1:8" ht="26.25" x14ac:dyDescent="0.4">
      <c r="A67" s="22" t="s">
        <v>463</v>
      </c>
      <c r="H67" s="22" t="s">
        <v>464</v>
      </c>
    </row>
    <row r="72" spans="1:8" x14ac:dyDescent="0.25">
      <c r="A72" t="s">
        <v>473</v>
      </c>
      <c r="H72" t="s">
        <v>476</v>
      </c>
    </row>
    <row r="73" spans="1:8" x14ac:dyDescent="0.25">
      <c r="A73" t="s">
        <v>467</v>
      </c>
      <c r="H73" t="s">
        <v>466</v>
      </c>
    </row>
    <row r="74" spans="1:8" x14ac:dyDescent="0.25">
      <c r="A74" t="s">
        <v>457</v>
      </c>
      <c r="H74" t="s">
        <v>465</v>
      </c>
    </row>
    <row r="75" spans="1:8" x14ac:dyDescent="0.25">
      <c r="A75" t="s">
        <v>485</v>
      </c>
      <c r="H75" s="23" t="s">
        <v>459</v>
      </c>
    </row>
    <row r="76" spans="1:8" x14ac:dyDescent="0.25">
      <c r="A76" t="s">
        <v>486</v>
      </c>
    </row>
    <row r="77" spans="1:8" x14ac:dyDescent="0.25">
      <c r="A77" t="s">
        <v>487</v>
      </c>
    </row>
    <row r="78" spans="1:8" x14ac:dyDescent="0.25">
      <c r="A78" t="s">
        <v>488</v>
      </c>
    </row>
    <row r="79" spans="1:8" x14ac:dyDescent="0.25">
      <c r="A79" t="s">
        <v>489</v>
      </c>
    </row>
    <row r="80" spans="1:8" x14ac:dyDescent="0.25">
      <c r="A80" t="s">
        <v>490</v>
      </c>
    </row>
  </sheetData>
  <pageMargins left="0.70866141732283472" right="0.70866141732283472" top="0.74803149606299213" bottom="0.74803149606299213" header="0.31496062992125984" footer="0.31496062992125984"/>
  <pageSetup paperSize="9" scale="97" fitToHeight="10" orientation="landscape" horizontalDpi="300" verticalDpi="300" r:id="rId1"/>
  <rowBreaks count="3" manualBreakCount="3">
    <brk id="23" max="15" man="1"/>
    <brk id="45" max="15" man="1"/>
    <brk id="65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B4" sqref="B4"/>
    </sheetView>
  </sheetViews>
  <sheetFormatPr defaultRowHeight="15" x14ac:dyDescent="0.25"/>
  <sheetData>
    <row r="4" spans="2:2" x14ac:dyDescent="0.25">
      <c r="B4">
        <f>IF(D23&lt;5,P16,IF(AND(D23&lt;9,D23&gt;4),P17,IF(AND(D23&lt;13,D23&gt;8),P18,IF(AND(D23&lt;17,D23&gt;12),P19,IF(AND(D23&lt;21,D23&gt;16),P20,IF(AND(D23&lt;25,D23&gt;20),P21,IF(AND(D23&lt;33,D23&gt;24),P22,IF(AND(D23&lt;41,D23&gt;32),P23,IF(AND(D23&lt;49,D23&gt;40),P24,P25))))))))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37" zoomScaleNormal="100" workbookViewId="0">
      <selection activeCell="B35" sqref="B34:B35"/>
    </sheetView>
  </sheetViews>
  <sheetFormatPr defaultRowHeight="15" x14ac:dyDescent="0.25"/>
  <cols>
    <col min="7" max="7" width="1.5703125" customWidth="1"/>
  </cols>
  <sheetData>
    <row r="1" spans="1:8" ht="46.5" x14ac:dyDescent="0.7">
      <c r="A1" s="24" t="s">
        <v>492</v>
      </c>
      <c r="B1" s="23"/>
    </row>
    <row r="2" spans="1:8" ht="26.25" x14ac:dyDescent="0.4">
      <c r="A2" s="22" t="s">
        <v>463</v>
      </c>
      <c r="H2" s="22" t="s">
        <v>464</v>
      </c>
    </row>
    <row r="6" spans="1:8" x14ac:dyDescent="0.25">
      <c r="A6" t="s">
        <v>493</v>
      </c>
      <c r="H6" t="s">
        <v>497</v>
      </c>
    </row>
    <row r="7" spans="1:8" x14ac:dyDescent="0.25">
      <c r="A7" t="s">
        <v>467</v>
      </c>
      <c r="H7" t="s">
        <v>466</v>
      </c>
    </row>
    <row r="8" spans="1:8" x14ac:dyDescent="0.25">
      <c r="A8" t="s">
        <v>457</v>
      </c>
      <c r="H8" t="s">
        <v>465</v>
      </c>
    </row>
    <row r="9" spans="1:8" x14ac:dyDescent="0.25">
      <c r="A9" t="s">
        <v>485</v>
      </c>
      <c r="H9" s="23" t="s">
        <v>459</v>
      </c>
    </row>
    <row r="10" spans="1:8" x14ac:dyDescent="0.25">
      <c r="A10" t="s">
        <v>486</v>
      </c>
    </row>
    <row r="11" spans="1:8" x14ac:dyDescent="0.25">
      <c r="A11" t="s">
        <v>487</v>
      </c>
    </row>
    <row r="12" spans="1:8" x14ac:dyDescent="0.25">
      <c r="A12" t="s">
        <v>488</v>
      </c>
    </row>
    <row r="13" spans="1:8" x14ac:dyDescent="0.25">
      <c r="A13" t="s">
        <v>489</v>
      </c>
    </row>
    <row r="14" spans="1:8" x14ac:dyDescent="0.25">
      <c r="A14" t="s">
        <v>490</v>
      </c>
    </row>
    <row r="19" spans="1:8" x14ac:dyDescent="0.25">
      <c r="C19" t="s">
        <v>494</v>
      </c>
    </row>
    <row r="20" spans="1:8" x14ac:dyDescent="0.25">
      <c r="C20" t="s">
        <v>461</v>
      </c>
    </row>
    <row r="21" spans="1:8" x14ac:dyDescent="0.25">
      <c r="C21" t="s">
        <v>495</v>
      </c>
    </row>
    <row r="22" spans="1:8" x14ac:dyDescent="0.25">
      <c r="C22" t="s">
        <v>496</v>
      </c>
    </row>
    <row r="24" spans="1:8" ht="46.5" x14ac:dyDescent="0.7">
      <c r="A24" s="24" t="s">
        <v>491</v>
      </c>
    </row>
    <row r="26" spans="1:8" ht="26.25" x14ac:dyDescent="0.4">
      <c r="A26" s="22" t="s">
        <v>463</v>
      </c>
      <c r="H26" s="22" t="s">
        <v>464</v>
      </c>
    </row>
    <row r="30" spans="1:8" x14ac:dyDescent="0.25">
      <c r="A30" t="s">
        <v>553</v>
      </c>
      <c r="H30" t="s">
        <v>497</v>
      </c>
    </row>
    <row r="31" spans="1:8" x14ac:dyDescent="0.25">
      <c r="A31" t="s">
        <v>467</v>
      </c>
      <c r="H31" t="s">
        <v>466</v>
      </c>
    </row>
    <row r="32" spans="1:8" x14ac:dyDescent="0.25">
      <c r="A32" t="s">
        <v>457</v>
      </c>
      <c r="H32" t="s">
        <v>465</v>
      </c>
    </row>
    <row r="33" spans="1:8" x14ac:dyDescent="0.25">
      <c r="A33" t="s">
        <v>485</v>
      </c>
      <c r="H33" s="23" t="s">
        <v>459</v>
      </c>
    </row>
    <row r="34" spans="1:8" x14ac:dyDescent="0.25">
      <c r="A34" t="s">
        <v>486</v>
      </c>
    </row>
    <row r="35" spans="1:8" x14ac:dyDescent="0.25">
      <c r="A35" t="s">
        <v>487</v>
      </c>
    </row>
    <row r="36" spans="1:8" x14ac:dyDescent="0.25">
      <c r="A36" t="s">
        <v>488</v>
      </c>
    </row>
    <row r="37" spans="1:8" x14ac:dyDescent="0.25">
      <c r="A37" t="s">
        <v>489</v>
      </c>
    </row>
    <row r="38" spans="1:8" x14ac:dyDescent="0.25">
      <c r="A38" t="s">
        <v>490</v>
      </c>
    </row>
    <row r="47" spans="1:8" ht="46.5" x14ac:dyDescent="0.7">
      <c r="A47" s="24" t="s">
        <v>498</v>
      </c>
      <c r="B47" s="23"/>
    </row>
    <row r="48" spans="1:8" ht="26.25" x14ac:dyDescent="0.4">
      <c r="A48" s="22" t="s">
        <v>463</v>
      </c>
      <c r="H48" s="22" t="s">
        <v>464</v>
      </c>
    </row>
    <row r="53" spans="1:8" x14ac:dyDescent="0.25">
      <c r="A53" t="s">
        <v>499</v>
      </c>
      <c r="H53" t="s">
        <v>500</v>
      </c>
    </row>
    <row r="54" spans="1:8" x14ac:dyDescent="0.25">
      <c r="A54" t="s">
        <v>467</v>
      </c>
      <c r="H54" t="s">
        <v>466</v>
      </c>
    </row>
    <row r="55" spans="1:8" x14ac:dyDescent="0.25">
      <c r="A55" t="s">
        <v>501</v>
      </c>
      <c r="H55" t="s">
        <v>465</v>
      </c>
    </row>
    <row r="56" spans="1:8" x14ac:dyDescent="0.25">
      <c r="A56" t="s">
        <v>485</v>
      </c>
      <c r="H56" s="23" t="s">
        <v>459</v>
      </c>
    </row>
    <row r="57" spans="1:8" x14ac:dyDescent="0.25">
      <c r="A57" t="s">
        <v>486</v>
      </c>
    </row>
    <row r="58" spans="1:8" x14ac:dyDescent="0.25">
      <c r="A58" t="s">
        <v>487</v>
      </c>
    </row>
    <row r="59" spans="1:8" x14ac:dyDescent="0.25">
      <c r="A59" t="s">
        <v>488</v>
      </c>
    </row>
    <row r="60" spans="1:8" x14ac:dyDescent="0.25">
      <c r="A60" t="s">
        <v>489</v>
      </c>
    </row>
    <row r="61" spans="1:8" x14ac:dyDescent="0.25">
      <c r="A61" t="s">
        <v>490</v>
      </c>
    </row>
    <row r="66" spans="1:8" ht="46.5" x14ac:dyDescent="0.7">
      <c r="A66" s="24"/>
      <c r="B66" s="23"/>
    </row>
    <row r="67" spans="1:8" ht="26.25" x14ac:dyDescent="0.4">
      <c r="A67" s="22"/>
      <c r="H67" s="22"/>
    </row>
    <row r="75" spans="1:8" x14ac:dyDescent="0.25">
      <c r="H75" s="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9"/>
  <sheetViews>
    <sheetView topLeftCell="A47" workbookViewId="0">
      <selection activeCell="C57" sqref="C57"/>
    </sheetView>
  </sheetViews>
  <sheetFormatPr defaultRowHeight="12.75" x14ac:dyDescent="0.2"/>
  <cols>
    <col min="1" max="1" width="8.85546875" style="4"/>
    <col min="2" max="2" width="9.28515625" style="20" bestFit="1" customWidth="1"/>
    <col min="3" max="3" width="13.7109375" style="18" bestFit="1" customWidth="1"/>
    <col min="4" max="4" width="8.85546875" style="19"/>
    <col min="5" max="5" width="7" style="18" bestFit="1" customWidth="1"/>
    <col min="6" max="6" width="13.28515625" style="18" bestFit="1" customWidth="1"/>
    <col min="7" max="7" width="7" style="18" customWidth="1"/>
    <col min="8" max="8" width="17.85546875" style="18" customWidth="1"/>
    <col min="9" max="253" width="8.85546875" style="4"/>
    <col min="254" max="254" width="9.28515625" style="4" bestFit="1" customWidth="1"/>
    <col min="255" max="255" width="13.7109375" style="4" bestFit="1" customWidth="1"/>
    <col min="256" max="256" width="8.85546875" style="4"/>
    <col min="257" max="257" width="7" style="4" bestFit="1" customWidth="1"/>
    <col min="258" max="258" width="13.28515625" style="4" bestFit="1" customWidth="1"/>
    <col min="259" max="259" width="7" style="4" customWidth="1"/>
    <col min="260" max="260" width="17.85546875" style="4" customWidth="1"/>
    <col min="261" max="261" width="14" style="4" bestFit="1" customWidth="1"/>
    <col min="262" max="262" width="22.85546875" style="4" bestFit="1" customWidth="1"/>
    <col min="263" max="263" width="21.28515625" style="4" customWidth="1"/>
    <col min="264" max="264" width="23.28515625" style="4" customWidth="1"/>
    <col min="265" max="509" width="8.85546875" style="4"/>
    <col min="510" max="510" width="9.28515625" style="4" bestFit="1" customWidth="1"/>
    <col min="511" max="511" width="13.7109375" style="4" bestFit="1" customWidth="1"/>
    <col min="512" max="512" width="8.85546875" style="4"/>
    <col min="513" max="513" width="7" style="4" bestFit="1" customWidth="1"/>
    <col min="514" max="514" width="13.28515625" style="4" bestFit="1" customWidth="1"/>
    <col min="515" max="515" width="7" style="4" customWidth="1"/>
    <col min="516" max="516" width="17.85546875" style="4" customWidth="1"/>
    <col min="517" max="517" width="14" style="4" bestFit="1" customWidth="1"/>
    <col min="518" max="518" width="22.85546875" style="4" bestFit="1" customWidth="1"/>
    <col min="519" max="519" width="21.28515625" style="4" customWidth="1"/>
    <col min="520" max="520" width="23.28515625" style="4" customWidth="1"/>
    <col min="521" max="765" width="8.85546875" style="4"/>
    <col min="766" max="766" width="9.28515625" style="4" bestFit="1" customWidth="1"/>
    <col min="767" max="767" width="13.7109375" style="4" bestFit="1" customWidth="1"/>
    <col min="768" max="768" width="8.85546875" style="4"/>
    <col min="769" max="769" width="7" style="4" bestFit="1" customWidth="1"/>
    <col min="770" max="770" width="13.28515625" style="4" bestFit="1" customWidth="1"/>
    <col min="771" max="771" width="7" style="4" customWidth="1"/>
    <col min="772" max="772" width="17.85546875" style="4" customWidth="1"/>
    <col min="773" max="773" width="14" style="4" bestFit="1" customWidth="1"/>
    <col min="774" max="774" width="22.85546875" style="4" bestFit="1" customWidth="1"/>
    <col min="775" max="775" width="21.28515625" style="4" customWidth="1"/>
    <col min="776" max="776" width="23.28515625" style="4" customWidth="1"/>
    <col min="777" max="1021" width="8.85546875" style="4"/>
    <col min="1022" max="1022" width="9.28515625" style="4" bestFit="1" customWidth="1"/>
    <col min="1023" max="1023" width="13.7109375" style="4" bestFit="1" customWidth="1"/>
    <col min="1024" max="1024" width="8.85546875" style="4"/>
    <col min="1025" max="1025" width="7" style="4" bestFit="1" customWidth="1"/>
    <col min="1026" max="1026" width="13.28515625" style="4" bestFit="1" customWidth="1"/>
    <col min="1027" max="1027" width="7" style="4" customWidth="1"/>
    <col min="1028" max="1028" width="17.85546875" style="4" customWidth="1"/>
    <col min="1029" max="1029" width="14" style="4" bestFit="1" customWidth="1"/>
    <col min="1030" max="1030" width="22.85546875" style="4" bestFit="1" customWidth="1"/>
    <col min="1031" max="1031" width="21.28515625" style="4" customWidth="1"/>
    <col min="1032" max="1032" width="23.28515625" style="4" customWidth="1"/>
    <col min="1033" max="1277" width="8.85546875" style="4"/>
    <col min="1278" max="1278" width="9.28515625" style="4" bestFit="1" customWidth="1"/>
    <col min="1279" max="1279" width="13.7109375" style="4" bestFit="1" customWidth="1"/>
    <col min="1280" max="1280" width="8.85546875" style="4"/>
    <col min="1281" max="1281" width="7" style="4" bestFit="1" customWidth="1"/>
    <col min="1282" max="1282" width="13.28515625" style="4" bestFit="1" customWidth="1"/>
    <col min="1283" max="1283" width="7" style="4" customWidth="1"/>
    <col min="1284" max="1284" width="17.85546875" style="4" customWidth="1"/>
    <col min="1285" max="1285" width="14" style="4" bestFit="1" customWidth="1"/>
    <col min="1286" max="1286" width="22.85546875" style="4" bestFit="1" customWidth="1"/>
    <col min="1287" max="1287" width="21.28515625" style="4" customWidth="1"/>
    <col min="1288" max="1288" width="23.28515625" style="4" customWidth="1"/>
    <col min="1289" max="1533" width="8.85546875" style="4"/>
    <col min="1534" max="1534" width="9.28515625" style="4" bestFit="1" customWidth="1"/>
    <col min="1535" max="1535" width="13.7109375" style="4" bestFit="1" customWidth="1"/>
    <col min="1536" max="1536" width="8.85546875" style="4"/>
    <col min="1537" max="1537" width="7" style="4" bestFit="1" customWidth="1"/>
    <col min="1538" max="1538" width="13.28515625" style="4" bestFit="1" customWidth="1"/>
    <col min="1539" max="1539" width="7" style="4" customWidth="1"/>
    <col min="1540" max="1540" width="17.85546875" style="4" customWidth="1"/>
    <col min="1541" max="1541" width="14" style="4" bestFit="1" customWidth="1"/>
    <col min="1542" max="1542" width="22.85546875" style="4" bestFit="1" customWidth="1"/>
    <col min="1543" max="1543" width="21.28515625" style="4" customWidth="1"/>
    <col min="1544" max="1544" width="23.28515625" style="4" customWidth="1"/>
    <col min="1545" max="1789" width="8.85546875" style="4"/>
    <col min="1790" max="1790" width="9.28515625" style="4" bestFit="1" customWidth="1"/>
    <col min="1791" max="1791" width="13.7109375" style="4" bestFit="1" customWidth="1"/>
    <col min="1792" max="1792" width="8.85546875" style="4"/>
    <col min="1793" max="1793" width="7" style="4" bestFit="1" customWidth="1"/>
    <col min="1794" max="1794" width="13.28515625" style="4" bestFit="1" customWidth="1"/>
    <col min="1795" max="1795" width="7" style="4" customWidth="1"/>
    <col min="1796" max="1796" width="17.85546875" style="4" customWidth="1"/>
    <col min="1797" max="1797" width="14" style="4" bestFit="1" customWidth="1"/>
    <col min="1798" max="1798" width="22.85546875" style="4" bestFit="1" customWidth="1"/>
    <col min="1799" max="1799" width="21.28515625" style="4" customWidth="1"/>
    <col min="1800" max="1800" width="23.28515625" style="4" customWidth="1"/>
    <col min="1801" max="2045" width="8.85546875" style="4"/>
    <col min="2046" max="2046" width="9.28515625" style="4" bestFit="1" customWidth="1"/>
    <col min="2047" max="2047" width="13.7109375" style="4" bestFit="1" customWidth="1"/>
    <col min="2048" max="2048" width="8.85546875" style="4"/>
    <col min="2049" max="2049" width="7" style="4" bestFit="1" customWidth="1"/>
    <col min="2050" max="2050" width="13.28515625" style="4" bestFit="1" customWidth="1"/>
    <col min="2051" max="2051" width="7" style="4" customWidth="1"/>
    <col min="2052" max="2052" width="17.85546875" style="4" customWidth="1"/>
    <col min="2053" max="2053" width="14" style="4" bestFit="1" customWidth="1"/>
    <col min="2054" max="2054" width="22.85546875" style="4" bestFit="1" customWidth="1"/>
    <col min="2055" max="2055" width="21.28515625" style="4" customWidth="1"/>
    <col min="2056" max="2056" width="23.28515625" style="4" customWidth="1"/>
    <col min="2057" max="2301" width="8.85546875" style="4"/>
    <col min="2302" max="2302" width="9.28515625" style="4" bestFit="1" customWidth="1"/>
    <col min="2303" max="2303" width="13.7109375" style="4" bestFit="1" customWidth="1"/>
    <col min="2304" max="2304" width="8.85546875" style="4"/>
    <col min="2305" max="2305" width="7" style="4" bestFit="1" customWidth="1"/>
    <col min="2306" max="2306" width="13.28515625" style="4" bestFit="1" customWidth="1"/>
    <col min="2307" max="2307" width="7" style="4" customWidth="1"/>
    <col min="2308" max="2308" width="17.85546875" style="4" customWidth="1"/>
    <col min="2309" max="2309" width="14" style="4" bestFit="1" customWidth="1"/>
    <col min="2310" max="2310" width="22.85546875" style="4" bestFit="1" customWidth="1"/>
    <col min="2311" max="2311" width="21.28515625" style="4" customWidth="1"/>
    <col min="2312" max="2312" width="23.28515625" style="4" customWidth="1"/>
    <col min="2313" max="2557" width="8.85546875" style="4"/>
    <col min="2558" max="2558" width="9.28515625" style="4" bestFit="1" customWidth="1"/>
    <col min="2559" max="2559" width="13.7109375" style="4" bestFit="1" customWidth="1"/>
    <col min="2560" max="2560" width="8.85546875" style="4"/>
    <col min="2561" max="2561" width="7" style="4" bestFit="1" customWidth="1"/>
    <col min="2562" max="2562" width="13.28515625" style="4" bestFit="1" customWidth="1"/>
    <col min="2563" max="2563" width="7" style="4" customWidth="1"/>
    <col min="2564" max="2564" width="17.85546875" style="4" customWidth="1"/>
    <col min="2565" max="2565" width="14" style="4" bestFit="1" customWidth="1"/>
    <col min="2566" max="2566" width="22.85546875" style="4" bestFit="1" customWidth="1"/>
    <col min="2567" max="2567" width="21.28515625" style="4" customWidth="1"/>
    <col min="2568" max="2568" width="23.28515625" style="4" customWidth="1"/>
    <col min="2569" max="2813" width="8.85546875" style="4"/>
    <col min="2814" max="2814" width="9.28515625" style="4" bestFit="1" customWidth="1"/>
    <col min="2815" max="2815" width="13.7109375" style="4" bestFit="1" customWidth="1"/>
    <col min="2816" max="2816" width="8.85546875" style="4"/>
    <col min="2817" max="2817" width="7" style="4" bestFit="1" customWidth="1"/>
    <col min="2818" max="2818" width="13.28515625" style="4" bestFit="1" customWidth="1"/>
    <col min="2819" max="2819" width="7" style="4" customWidth="1"/>
    <col min="2820" max="2820" width="17.85546875" style="4" customWidth="1"/>
    <col min="2821" max="2821" width="14" style="4" bestFit="1" customWidth="1"/>
    <col min="2822" max="2822" width="22.85546875" style="4" bestFit="1" customWidth="1"/>
    <col min="2823" max="2823" width="21.28515625" style="4" customWidth="1"/>
    <col min="2824" max="2824" width="23.28515625" style="4" customWidth="1"/>
    <col min="2825" max="3069" width="8.85546875" style="4"/>
    <col min="3070" max="3070" width="9.28515625" style="4" bestFit="1" customWidth="1"/>
    <col min="3071" max="3071" width="13.7109375" style="4" bestFit="1" customWidth="1"/>
    <col min="3072" max="3072" width="8.85546875" style="4"/>
    <col min="3073" max="3073" width="7" style="4" bestFit="1" customWidth="1"/>
    <col min="3074" max="3074" width="13.28515625" style="4" bestFit="1" customWidth="1"/>
    <col min="3075" max="3075" width="7" style="4" customWidth="1"/>
    <col min="3076" max="3076" width="17.85546875" style="4" customWidth="1"/>
    <col min="3077" max="3077" width="14" style="4" bestFit="1" customWidth="1"/>
    <col min="3078" max="3078" width="22.85546875" style="4" bestFit="1" customWidth="1"/>
    <col min="3079" max="3079" width="21.28515625" style="4" customWidth="1"/>
    <col min="3080" max="3080" width="23.28515625" style="4" customWidth="1"/>
    <col min="3081" max="3325" width="8.85546875" style="4"/>
    <col min="3326" max="3326" width="9.28515625" style="4" bestFit="1" customWidth="1"/>
    <col min="3327" max="3327" width="13.7109375" style="4" bestFit="1" customWidth="1"/>
    <col min="3328" max="3328" width="8.85546875" style="4"/>
    <col min="3329" max="3329" width="7" style="4" bestFit="1" customWidth="1"/>
    <col min="3330" max="3330" width="13.28515625" style="4" bestFit="1" customWidth="1"/>
    <col min="3331" max="3331" width="7" style="4" customWidth="1"/>
    <col min="3332" max="3332" width="17.85546875" style="4" customWidth="1"/>
    <col min="3333" max="3333" width="14" style="4" bestFit="1" customWidth="1"/>
    <col min="3334" max="3334" width="22.85546875" style="4" bestFit="1" customWidth="1"/>
    <col min="3335" max="3335" width="21.28515625" style="4" customWidth="1"/>
    <col min="3336" max="3336" width="23.28515625" style="4" customWidth="1"/>
    <col min="3337" max="3581" width="8.85546875" style="4"/>
    <col min="3582" max="3582" width="9.28515625" style="4" bestFit="1" customWidth="1"/>
    <col min="3583" max="3583" width="13.7109375" style="4" bestFit="1" customWidth="1"/>
    <col min="3584" max="3584" width="8.85546875" style="4"/>
    <col min="3585" max="3585" width="7" style="4" bestFit="1" customWidth="1"/>
    <col min="3586" max="3586" width="13.28515625" style="4" bestFit="1" customWidth="1"/>
    <col min="3587" max="3587" width="7" style="4" customWidth="1"/>
    <col min="3588" max="3588" width="17.85546875" style="4" customWidth="1"/>
    <col min="3589" max="3589" width="14" style="4" bestFit="1" customWidth="1"/>
    <col min="3590" max="3590" width="22.85546875" style="4" bestFit="1" customWidth="1"/>
    <col min="3591" max="3591" width="21.28515625" style="4" customWidth="1"/>
    <col min="3592" max="3592" width="23.28515625" style="4" customWidth="1"/>
    <col min="3593" max="3837" width="8.85546875" style="4"/>
    <col min="3838" max="3838" width="9.28515625" style="4" bestFit="1" customWidth="1"/>
    <col min="3839" max="3839" width="13.7109375" style="4" bestFit="1" customWidth="1"/>
    <col min="3840" max="3840" width="8.85546875" style="4"/>
    <col min="3841" max="3841" width="7" style="4" bestFit="1" customWidth="1"/>
    <col min="3842" max="3842" width="13.28515625" style="4" bestFit="1" customWidth="1"/>
    <col min="3843" max="3843" width="7" style="4" customWidth="1"/>
    <col min="3844" max="3844" width="17.85546875" style="4" customWidth="1"/>
    <col min="3845" max="3845" width="14" style="4" bestFit="1" customWidth="1"/>
    <col min="3846" max="3846" width="22.85546875" style="4" bestFit="1" customWidth="1"/>
    <col min="3847" max="3847" width="21.28515625" style="4" customWidth="1"/>
    <col min="3848" max="3848" width="23.28515625" style="4" customWidth="1"/>
    <col min="3849" max="4093" width="8.85546875" style="4"/>
    <col min="4094" max="4094" width="9.28515625" style="4" bestFit="1" customWidth="1"/>
    <col min="4095" max="4095" width="13.7109375" style="4" bestFit="1" customWidth="1"/>
    <col min="4096" max="4096" width="8.85546875" style="4"/>
    <col min="4097" max="4097" width="7" style="4" bestFit="1" customWidth="1"/>
    <col min="4098" max="4098" width="13.28515625" style="4" bestFit="1" customWidth="1"/>
    <col min="4099" max="4099" width="7" style="4" customWidth="1"/>
    <col min="4100" max="4100" width="17.85546875" style="4" customWidth="1"/>
    <col min="4101" max="4101" width="14" style="4" bestFit="1" customWidth="1"/>
    <col min="4102" max="4102" width="22.85546875" style="4" bestFit="1" customWidth="1"/>
    <col min="4103" max="4103" width="21.28515625" style="4" customWidth="1"/>
    <col min="4104" max="4104" width="23.28515625" style="4" customWidth="1"/>
    <col min="4105" max="4349" width="8.85546875" style="4"/>
    <col min="4350" max="4350" width="9.28515625" style="4" bestFit="1" customWidth="1"/>
    <col min="4351" max="4351" width="13.7109375" style="4" bestFit="1" customWidth="1"/>
    <col min="4352" max="4352" width="8.85546875" style="4"/>
    <col min="4353" max="4353" width="7" style="4" bestFit="1" customWidth="1"/>
    <col min="4354" max="4354" width="13.28515625" style="4" bestFit="1" customWidth="1"/>
    <col min="4355" max="4355" width="7" style="4" customWidth="1"/>
    <col min="4356" max="4356" width="17.85546875" style="4" customWidth="1"/>
    <col min="4357" max="4357" width="14" style="4" bestFit="1" customWidth="1"/>
    <col min="4358" max="4358" width="22.85546875" style="4" bestFit="1" customWidth="1"/>
    <col min="4359" max="4359" width="21.28515625" style="4" customWidth="1"/>
    <col min="4360" max="4360" width="23.28515625" style="4" customWidth="1"/>
    <col min="4361" max="4605" width="8.85546875" style="4"/>
    <col min="4606" max="4606" width="9.28515625" style="4" bestFit="1" customWidth="1"/>
    <col min="4607" max="4607" width="13.7109375" style="4" bestFit="1" customWidth="1"/>
    <col min="4608" max="4608" width="8.85546875" style="4"/>
    <col min="4609" max="4609" width="7" style="4" bestFit="1" customWidth="1"/>
    <col min="4610" max="4610" width="13.28515625" style="4" bestFit="1" customWidth="1"/>
    <col min="4611" max="4611" width="7" style="4" customWidth="1"/>
    <col min="4612" max="4612" width="17.85546875" style="4" customWidth="1"/>
    <col min="4613" max="4613" width="14" style="4" bestFit="1" customWidth="1"/>
    <col min="4614" max="4614" width="22.85546875" style="4" bestFit="1" customWidth="1"/>
    <col min="4615" max="4615" width="21.28515625" style="4" customWidth="1"/>
    <col min="4616" max="4616" width="23.28515625" style="4" customWidth="1"/>
    <col min="4617" max="4861" width="8.85546875" style="4"/>
    <col min="4862" max="4862" width="9.28515625" style="4" bestFit="1" customWidth="1"/>
    <col min="4863" max="4863" width="13.7109375" style="4" bestFit="1" customWidth="1"/>
    <col min="4864" max="4864" width="8.85546875" style="4"/>
    <col min="4865" max="4865" width="7" style="4" bestFit="1" customWidth="1"/>
    <col min="4866" max="4866" width="13.28515625" style="4" bestFit="1" customWidth="1"/>
    <col min="4867" max="4867" width="7" style="4" customWidth="1"/>
    <col min="4868" max="4868" width="17.85546875" style="4" customWidth="1"/>
    <col min="4869" max="4869" width="14" style="4" bestFit="1" customWidth="1"/>
    <col min="4870" max="4870" width="22.85546875" style="4" bestFit="1" customWidth="1"/>
    <col min="4871" max="4871" width="21.28515625" style="4" customWidth="1"/>
    <col min="4872" max="4872" width="23.28515625" style="4" customWidth="1"/>
    <col min="4873" max="5117" width="8.85546875" style="4"/>
    <col min="5118" max="5118" width="9.28515625" style="4" bestFit="1" customWidth="1"/>
    <col min="5119" max="5119" width="13.7109375" style="4" bestFit="1" customWidth="1"/>
    <col min="5120" max="5120" width="8.85546875" style="4"/>
    <col min="5121" max="5121" width="7" style="4" bestFit="1" customWidth="1"/>
    <col min="5122" max="5122" width="13.28515625" style="4" bestFit="1" customWidth="1"/>
    <col min="5123" max="5123" width="7" style="4" customWidth="1"/>
    <col min="5124" max="5124" width="17.85546875" style="4" customWidth="1"/>
    <col min="5125" max="5125" width="14" style="4" bestFit="1" customWidth="1"/>
    <col min="5126" max="5126" width="22.85546875" style="4" bestFit="1" customWidth="1"/>
    <col min="5127" max="5127" width="21.28515625" style="4" customWidth="1"/>
    <col min="5128" max="5128" width="23.28515625" style="4" customWidth="1"/>
    <col min="5129" max="5373" width="8.85546875" style="4"/>
    <col min="5374" max="5374" width="9.28515625" style="4" bestFit="1" customWidth="1"/>
    <col min="5375" max="5375" width="13.7109375" style="4" bestFit="1" customWidth="1"/>
    <col min="5376" max="5376" width="8.85546875" style="4"/>
    <col min="5377" max="5377" width="7" style="4" bestFit="1" customWidth="1"/>
    <col min="5378" max="5378" width="13.28515625" style="4" bestFit="1" customWidth="1"/>
    <col min="5379" max="5379" width="7" style="4" customWidth="1"/>
    <col min="5380" max="5380" width="17.85546875" style="4" customWidth="1"/>
    <col min="5381" max="5381" width="14" style="4" bestFit="1" customWidth="1"/>
    <col min="5382" max="5382" width="22.85546875" style="4" bestFit="1" customWidth="1"/>
    <col min="5383" max="5383" width="21.28515625" style="4" customWidth="1"/>
    <col min="5384" max="5384" width="23.28515625" style="4" customWidth="1"/>
    <col min="5385" max="5629" width="8.85546875" style="4"/>
    <col min="5630" max="5630" width="9.28515625" style="4" bestFit="1" customWidth="1"/>
    <col min="5631" max="5631" width="13.7109375" style="4" bestFit="1" customWidth="1"/>
    <col min="5632" max="5632" width="8.85546875" style="4"/>
    <col min="5633" max="5633" width="7" style="4" bestFit="1" customWidth="1"/>
    <col min="5634" max="5634" width="13.28515625" style="4" bestFit="1" customWidth="1"/>
    <col min="5635" max="5635" width="7" style="4" customWidth="1"/>
    <col min="5636" max="5636" width="17.85546875" style="4" customWidth="1"/>
    <col min="5637" max="5637" width="14" style="4" bestFit="1" customWidth="1"/>
    <col min="5638" max="5638" width="22.85546875" style="4" bestFit="1" customWidth="1"/>
    <col min="5639" max="5639" width="21.28515625" style="4" customWidth="1"/>
    <col min="5640" max="5640" width="23.28515625" style="4" customWidth="1"/>
    <col min="5641" max="5885" width="8.85546875" style="4"/>
    <col min="5886" max="5886" width="9.28515625" style="4" bestFit="1" customWidth="1"/>
    <col min="5887" max="5887" width="13.7109375" style="4" bestFit="1" customWidth="1"/>
    <col min="5888" max="5888" width="8.85546875" style="4"/>
    <col min="5889" max="5889" width="7" style="4" bestFit="1" customWidth="1"/>
    <col min="5890" max="5890" width="13.28515625" style="4" bestFit="1" customWidth="1"/>
    <col min="5891" max="5891" width="7" style="4" customWidth="1"/>
    <col min="5892" max="5892" width="17.85546875" style="4" customWidth="1"/>
    <col min="5893" max="5893" width="14" style="4" bestFit="1" customWidth="1"/>
    <col min="5894" max="5894" width="22.85546875" style="4" bestFit="1" customWidth="1"/>
    <col min="5895" max="5895" width="21.28515625" style="4" customWidth="1"/>
    <col min="5896" max="5896" width="23.28515625" style="4" customWidth="1"/>
    <col min="5897" max="6141" width="8.85546875" style="4"/>
    <col min="6142" max="6142" width="9.28515625" style="4" bestFit="1" customWidth="1"/>
    <col min="6143" max="6143" width="13.7109375" style="4" bestFit="1" customWidth="1"/>
    <col min="6144" max="6144" width="8.85546875" style="4"/>
    <col min="6145" max="6145" width="7" style="4" bestFit="1" customWidth="1"/>
    <col min="6146" max="6146" width="13.28515625" style="4" bestFit="1" customWidth="1"/>
    <col min="6147" max="6147" width="7" style="4" customWidth="1"/>
    <col min="6148" max="6148" width="17.85546875" style="4" customWidth="1"/>
    <col min="6149" max="6149" width="14" style="4" bestFit="1" customWidth="1"/>
    <col min="6150" max="6150" width="22.85546875" style="4" bestFit="1" customWidth="1"/>
    <col min="6151" max="6151" width="21.28515625" style="4" customWidth="1"/>
    <col min="6152" max="6152" width="23.28515625" style="4" customWidth="1"/>
    <col min="6153" max="6397" width="8.85546875" style="4"/>
    <col min="6398" max="6398" width="9.28515625" style="4" bestFit="1" customWidth="1"/>
    <col min="6399" max="6399" width="13.7109375" style="4" bestFit="1" customWidth="1"/>
    <col min="6400" max="6400" width="8.85546875" style="4"/>
    <col min="6401" max="6401" width="7" style="4" bestFit="1" customWidth="1"/>
    <col min="6402" max="6402" width="13.28515625" style="4" bestFit="1" customWidth="1"/>
    <col min="6403" max="6403" width="7" style="4" customWidth="1"/>
    <col min="6404" max="6404" width="17.85546875" style="4" customWidth="1"/>
    <col min="6405" max="6405" width="14" style="4" bestFit="1" customWidth="1"/>
    <col min="6406" max="6406" width="22.85546875" style="4" bestFit="1" customWidth="1"/>
    <col min="6407" max="6407" width="21.28515625" style="4" customWidth="1"/>
    <col min="6408" max="6408" width="23.28515625" style="4" customWidth="1"/>
    <col min="6409" max="6653" width="8.85546875" style="4"/>
    <col min="6654" max="6654" width="9.28515625" style="4" bestFit="1" customWidth="1"/>
    <col min="6655" max="6655" width="13.7109375" style="4" bestFit="1" customWidth="1"/>
    <col min="6656" max="6656" width="8.85546875" style="4"/>
    <col min="6657" max="6657" width="7" style="4" bestFit="1" customWidth="1"/>
    <col min="6658" max="6658" width="13.28515625" style="4" bestFit="1" customWidth="1"/>
    <col min="6659" max="6659" width="7" style="4" customWidth="1"/>
    <col min="6660" max="6660" width="17.85546875" style="4" customWidth="1"/>
    <col min="6661" max="6661" width="14" style="4" bestFit="1" customWidth="1"/>
    <col min="6662" max="6662" width="22.85546875" style="4" bestFit="1" customWidth="1"/>
    <col min="6663" max="6663" width="21.28515625" style="4" customWidth="1"/>
    <col min="6664" max="6664" width="23.28515625" style="4" customWidth="1"/>
    <col min="6665" max="6909" width="8.85546875" style="4"/>
    <col min="6910" max="6910" width="9.28515625" style="4" bestFit="1" customWidth="1"/>
    <col min="6911" max="6911" width="13.7109375" style="4" bestFit="1" customWidth="1"/>
    <col min="6912" max="6912" width="8.85546875" style="4"/>
    <col min="6913" max="6913" width="7" style="4" bestFit="1" customWidth="1"/>
    <col min="6914" max="6914" width="13.28515625" style="4" bestFit="1" customWidth="1"/>
    <col min="6915" max="6915" width="7" style="4" customWidth="1"/>
    <col min="6916" max="6916" width="17.85546875" style="4" customWidth="1"/>
    <col min="6917" max="6917" width="14" style="4" bestFit="1" customWidth="1"/>
    <col min="6918" max="6918" width="22.85546875" style="4" bestFit="1" customWidth="1"/>
    <col min="6919" max="6919" width="21.28515625" style="4" customWidth="1"/>
    <col min="6920" max="6920" width="23.28515625" style="4" customWidth="1"/>
    <col min="6921" max="7165" width="8.85546875" style="4"/>
    <col min="7166" max="7166" width="9.28515625" style="4" bestFit="1" customWidth="1"/>
    <col min="7167" max="7167" width="13.7109375" style="4" bestFit="1" customWidth="1"/>
    <col min="7168" max="7168" width="8.85546875" style="4"/>
    <col min="7169" max="7169" width="7" style="4" bestFit="1" customWidth="1"/>
    <col min="7170" max="7170" width="13.28515625" style="4" bestFit="1" customWidth="1"/>
    <col min="7171" max="7171" width="7" style="4" customWidth="1"/>
    <col min="7172" max="7172" width="17.85546875" style="4" customWidth="1"/>
    <col min="7173" max="7173" width="14" style="4" bestFit="1" customWidth="1"/>
    <col min="7174" max="7174" width="22.85546875" style="4" bestFit="1" customWidth="1"/>
    <col min="7175" max="7175" width="21.28515625" style="4" customWidth="1"/>
    <col min="7176" max="7176" width="23.28515625" style="4" customWidth="1"/>
    <col min="7177" max="7421" width="8.85546875" style="4"/>
    <col min="7422" max="7422" width="9.28515625" style="4" bestFit="1" customWidth="1"/>
    <col min="7423" max="7423" width="13.7109375" style="4" bestFit="1" customWidth="1"/>
    <col min="7424" max="7424" width="8.85546875" style="4"/>
    <col min="7425" max="7425" width="7" style="4" bestFit="1" customWidth="1"/>
    <col min="7426" max="7426" width="13.28515625" style="4" bestFit="1" customWidth="1"/>
    <col min="7427" max="7427" width="7" style="4" customWidth="1"/>
    <col min="7428" max="7428" width="17.85546875" style="4" customWidth="1"/>
    <col min="7429" max="7429" width="14" style="4" bestFit="1" customWidth="1"/>
    <col min="7430" max="7430" width="22.85546875" style="4" bestFit="1" customWidth="1"/>
    <col min="7431" max="7431" width="21.28515625" style="4" customWidth="1"/>
    <col min="7432" max="7432" width="23.28515625" style="4" customWidth="1"/>
    <col min="7433" max="7677" width="8.85546875" style="4"/>
    <col min="7678" max="7678" width="9.28515625" style="4" bestFit="1" customWidth="1"/>
    <col min="7679" max="7679" width="13.7109375" style="4" bestFit="1" customWidth="1"/>
    <col min="7680" max="7680" width="8.85546875" style="4"/>
    <col min="7681" max="7681" width="7" style="4" bestFit="1" customWidth="1"/>
    <col min="7682" max="7682" width="13.28515625" style="4" bestFit="1" customWidth="1"/>
    <col min="7683" max="7683" width="7" style="4" customWidth="1"/>
    <col min="7684" max="7684" width="17.85546875" style="4" customWidth="1"/>
    <col min="7685" max="7685" width="14" style="4" bestFit="1" customWidth="1"/>
    <col min="7686" max="7686" width="22.85546875" style="4" bestFit="1" customWidth="1"/>
    <col min="7687" max="7687" width="21.28515625" style="4" customWidth="1"/>
    <col min="7688" max="7688" width="23.28515625" style="4" customWidth="1"/>
    <col min="7689" max="7933" width="8.85546875" style="4"/>
    <col min="7934" max="7934" width="9.28515625" style="4" bestFit="1" customWidth="1"/>
    <col min="7935" max="7935" width="13.7109375" style="4" bestFit="1" customWidth="1"/>
    <col min="7936" max="7936" width="8.85546875" style="4"/>
    <col min="7937" max="7937" width="7" style="4" bestFit="1" customWidth="1"/>
    <col min="7938" max="7938" width="13.28515625" style="4" bestFit="1" customWidth="1"/>
    <col min="7939" max="7939" width="7" style="4" customWidth="1"/>
    <col min="7940" max="7940" width="17.85546875" style="4" customWidth="1"/>
    <col min="7941" max="7941" width="14" style="4" bestFit="1" customWidth="1"/>
    <col min="7942" max="7942" width="22.85546875" style="4" bestFit="1" customWidth="1"/>
    <col min="7943" max="7943" width="21.28515625" style="4" customWidth="1"/>
    <col min="7944" max="7944" width="23.28515625" style="4" customWidth="1"/>
    <col min="7945" max="8189" width="8.85546875" style="4"/>
    <col min="8190" max="8190" width="9.28515625" style="4" bestFit="1" customWidth="1"/>
    <col min="8191" max="8191" width="13.7109375" style="4" bestFit="1" customWidth="1"/>
    <col min="8192" max="8192" width="8.85546875" style="4"/>
    <col min="8193" max="8193" width="7" style="4" bestFit="1" customWidth="1"/>
    <col min="8194" max="8194" width="13.28515625" style="4" bestFit="1" customWidth="1"/>
    <col min="8195" max="8195" width="7" style="4" customWidth="1"/>
    <col min="8196" max="8196" width="17.85546875" style="4" customWidth="1"/>
    <col min="8197" max="8197" width="14" style="4" bestFit="1" customWidth="1"/>
    <col min="8198" max="8198" width="22.85546875" style="4" bestFit="1" customWidth="1"/>
    <col min="8199" max="8199" width="21.28515625" style="4" customWidth="1"/>
    <col min="8200" max="8200" width="23.28515625" style="4" customWidth="1"/>
    <col min="8201" max="8445" width="8.85546875" style="4"/>
    <col min="8446" max="8446" width="9.28515625" style="4" bestFit="1" customWidth="1"/>
    <col min="8447" max="8447" width="13.7109375" style="4" bestFit="1" customWidth="1"/>
    <col min="8448" max="8448" width="8.85546875" style="4"/>
    <col min="8449" max="8449" width="7" style="4" bestFit="1" customWidth="1"/>
    <col min="8450" max="8450" width="13.28515625" style="4" bestFit="1" customWidth="1"/>
    <col min="8451" max="8451" width="7" style="4" customWidth="1"/>
    <col min="8452" max="8452" width="17.85546875" style="4" customWidth="1"/>
    <col min="8453" max="8453" width="14" style="4" bestFit="1" customWidth="1"/>
    <col min="8454" max="8454" width="22.85546875" style="4" bestFit="1" customWidth="1"/>
    <col min="8455" max="8455" width="21.28515625" style="4" customWidth="1"/>
    <col min="8456" max="8456" width="23.28515625" style="4" customWidth="1"/>
    <col min="8457" max="8701" width="8.85546875" style="4"/>
    <col min="8702" max="8702" width="9.28515625" style="4" bestFit="1" customWidth="1"/>
    <col min="8703" max="8703" width="13.7109375" style="4" bestFit="1" customWidth="1"/>
    <col min="8704" max="8704" width="8.85546875" style="4"/>
    <col min="8705" max="8705" width="7" style="4" bestFit="1" customWidth="1"/>
    <col min="8706" max="8706" width="13.28515625" style="4" bestFit="1" customWidth="1"/>
    <col min="8707" max="8707" width="7" style="4" customWidth="1"/>
    <col min="8708" max="8708" width="17.85546875" style="4" customWidth="1"/>
    <col min="8709" max="8709" width="14" style="4" bestFit="1" customWidth="1"/>
    <col min="8710" max="8710" width="22.85546875" style="4" bestFit="1" customWidth="1"/>
    <col min="8711" max="8711" width="21.28515625" style="4" customWidth="1"/>
    <col min="8712" max="8712" width="23.28515625" style="4" customWidth="1"/>
    <col min="8713" max="8957" width="8.85546875" style="4"/>
    <col min="8958" max="8958" width="9.28515625" style="4" bestFit="1" customWidth="1"/>
    <col min="8959" max="8959" width="13.7109375" style="4" bestFit="1" customWidth="1"/>
    <col min="8960" max="8960" width="8.85546875" style="4"/>
    <col min="8961" max="8961" width="7" style="4" bestFit="1" customWidth="1"/>
    <col min="8962" max="8962" width="13.28515625" style="4" bestFit="1" customWidth="1"/>
    <col min="8963" max="8963" width="7" style="4" customWidth="1"/>
    <col min="8964" max="8964" width="17.85546875" style="4" customWidth="1"/>
    <col min="8965" max="8965" width="14" style="4" bestFit="1" customWidth="1"/>
    <col min="8966" max="8966" width="22.85546875" style="4" bestFit="1" customWidth="1"/>
    <col min="8967" max="8967" width="21.28515625" style="4" customWidth="1"/>
    <col min="8968" max="8968" width="23.28515625" style="4" customWidth="1"/>
    <col min="8969" max="9213" width="8.85546875" style="4"/>
    <col min="9214" max="9214" width="9.28515625" style="4" bestFit="1" customWidth="1"/>
    <col min="9215" max="9215" width="13.7109375" style="4" bestFit="1" customWidth="1"/>
    <col min="9216" max="9216" width="8.85546875" style="4"/>
    <col min="9217" max="9217" width="7" style="4" bestFit="1" customWidth="1"/>
    <col min="9218" max="9218" width="13.28515625" style="4" bestFit="1" customWidth="1"/>
    <col min="9219" max="9219" width="7" style="4" customWidth="1"/>
    <col min="9220" max="9220" width="17.85546875" style="4" customWidth="1"/>
    <col min="9221" max="9221" width="14" style="4" bestFit="1" customWidth="1"/>
    <col min="9222" max="9222" width="22.85546875" style="4" bestFit="1" customWidth="1"/>
    <col min="9223" max="9223" width="21.28515625" style="4" customWidth="1"/>
    <col min="9224" max="9224" width="23.28515625" style="4" customWidth="1"/>
    <col min="9225" max="9469" width="8.85546875" style="4"/>
    <col min="9470" max="9470" width="9.28515625" style="4" bestFit="1" customWidth="1"/>
    <col min="9471" max="9471" width="13.7109375" style="4" bestFit="1" customWidth="1"/>
    <col min="9472" max="9472" width="8.85546875" style="4"/>
    <col min="9473" max="9473" width="7" style="4" bestFit="1" customWidth="1"/>
    <col min="9474" max="9474" width="13.28515625" style="4" bestFit="1" customWidth="1"/>
    <col min="9475" max="9475" width="7" style="4" customWidth="1"/>
    <col min="9476" max="9476" width="17.85546875" style="4" customWidth="1"/>
    <col min="9477" max="9477" width="14" style="4" bestFit="1" customWidth="1"/>
    <col min="9478" max="9478" width="22.85546875" style="4" bestFit="1" customWidth="1"/>
    <col min="9479" max="9479" width="21.28515625" style="4" customWidth="1"/>
    <col min="9480" max="9480" width="23.28515625" style="4" customWidth="1"/>
    <col min="9481" max="9725" width="8.85546875" style="4"/>
    <col min="9726" max="9726" width="9.28515625" style="4" bestFit="1" customWidth="1"/>
    <col min="9727" max="9727" width="13.7109375" style="4" bestFit="1" customWidth="1"/>
    <col min="9728" max="9728" width="8.85546875" style="4"/>
    <col min="9729" max="9729" width="7" style="4" bestFit="1" customWidth="1"/>
    <col min="9730" max="9730" width="13.28515625" style="4" bestFit="1" customWidth="1"/>
    <col min="9731" max="9731" width="7" style="4" customWidth="1"/>
    <col min="9732" max="9732" width="17.85546875" style="4" customWidth="1"/>
    <col min="9733" max="9733" width="14" style="4" bestFit="1" customWidth="1"/>
    <col min="9734" max="9734" width="22.85546875" style="4" bestFit="1" customWidth="1"/>
    <col min="9735" max="9735" width="21.28515625" style="4" customWidth="1"/>
    <col min="9736" max="9736" width="23.28515625" style="4" customWidth="1"/>
    <col min="9737" max="9981" width="8.85546875" style="4"/>
    <col min="9982" max="9982" width="9.28515625" style="4" bestFit="1" customWidth="1"/>
    <col min="9983" max="9983" width="13.7109375" style="4" bestFit="1" customWidth="1"/>
    <col min="9984" max="9984" width="8.85546875" style="4"/>
    <col min="9985" max="9985" width="7" style="4" bestFit="1" customWidth="1"/>
    <col min="9986" max="9986" width="13.28515625" style="4" bestFit="1" customWidth="1"/>
    <col min="9987" max="9987" width="7" style="4" customWidth="1"/>
    <col min="9988" max="9988" width="17.85546875" style="4" customWidth="1"/>
    <col min="9989" max="9989" width="14" style="4" bestFit="1" customWidth="1"/>
    <col min="9990" max="9990" width="22.85546875" style="4" bestFit="1" customWidth="1"/>
    <col min="9991" max="9991" width="21.28515625" style="4" customWidth="1"/>
    <col min="9992" max="9992" width="23.28515625" style="4" customWidth="1"/>
    <col min="9993" max="10237" width="8.85546875" style="4"/>
    <col min="10238" max="10238" width="9.28515625" style="4" bestFit="1" customWidth="1"/>
    <col min="10239" max="10239" width="13.7109375" style="4" bestFit="1" customWidth="1"/>
    <col min="10240" max="10240" width="8.85546875" style="4"/>
    <col min="10241" max="10241" width="7" style="4" bestFit="1" customWidth="1"/>
    <col min="10242" max="10242" width="13.28515625" style="4" bestFit="1" customWidth="1"/>
    <col min="10243" max="10243" width="7" style="4" customWidth="1"/>
    <col min="10244" max="10244" width="17.85546875" style="4" customWidth="1"/>
    <col min="10245" max="10245" width="14" style="4" bestFit="1" customWidth="1"/>
    <col min="10246" max="10246" width="22.85546875" style="4" bestFit="1" customWidth="1"/>
    <col min="10247" max="10247" width="21.28515625" style="4" customWidth="1"/>
    <col min="10248" max="10248" width="23.28515625" style="4" customWidth="1"/>
    <col min="10249" max="10493" width="8.85546875" style="4"/>
    <col min="10494" max="10494" width="9.28515625" style="4" bestFit="1" customWidth="1"/>
    <col min="10495" max="10495" width="13.7109375" style="4" bestFit="1" customWidth="1"/>
    <col min="10496" max="10496" width="8.85546875" style="4"/>
    <col min="10497" max="10497" width="7" style="4" bestFit="1" customWidth="1"/>
    <col min="10498" max="10498" width="13.28515625" style="4" bestFit="1" customWidth="1"/>
    <col min="10499" max="10499" width="7" style="4" customWidth="1"/>
    <col min="10500" max="10500" width="17.85546875" style="4" customWidth="1"/>
    <col min="10501" max="10501" width="14" style="4" bestFit="1" customWidth="1"/>
    <col min="10502" max="10502" width="22.85546875" style="4" bestFit="1" customWidth="1"/>
    <col min="10503" max="10503" width="21.28515625" style="4" customWidth="1"/>
    <col min="10504" max="10504" width="23.28515625" style="4" customWidth="1"/>
    <col min="10505" max="10749" width="8.85546875" style="4"/>
    <col min="10750" max="10750" width="9.28515625" style="4" bestFit="1" customWidth="1"/>
    <col min="10751" max="10751" width="13.7109375" style="4" bestFit="1" customWidth="1"/>
    <col min="10752" max="10752" width="8.85546875" style="4"/>
    <col min="10753" max="10753" width="7" style="4" bestFit="1" customWidth="1"/>
    <col min="10754" max="10754" width="13.28515625" style="4" bestFit="1" customWidth="1"/>
    <col min="10755" max="10755" width="7" style="4" customWidth="1"/>
    <col min="10756" max="10756" width="17.85546875" style="4" customWidth="1"/>
    <col min="10757" max="10757" width="14" style="4" bestFit="1" customWidth="1"/>
    <col min="10758" max="10758" width="22.85546875" style="4" bestFit="1" customWidth="1"/>
    <col min="10759" max="10759" width="21.28515625" style="4" customWidth="1"/>
    <col min="10760" max="10760" width="23.28515625" style="4" customWidth="1"/>
    <col min="10761" max="11005" width="8.85546875" style="4"/>
    <col min="11006" max="11006" width="9.28515625" style="4" bestFit="1" customWidth="1"/>
    <col min="11007" max="11007" width="13.7109375" style="4" bestFit="1" customWidth="1"/>
    <col min="11008" max="11008" width="8.85546875" style="4"/>
    <col min="11009" max="11009" width="7" style="4" bestFit="1" customWidth="1"/>
    <col min="11010" max="11010" width="13.28515625" style="4" bestFit="1" customWidth="1"/>
    <col min="11011" max="11011" width="7" style="4" customWidth="1"/>
    <col min="11012" max="11012" width="17.85546875" style="4" customWidth="1"/>
    <col min="11013" max="11013" width="14" style="4" bestFit="1" customWidth="1"/>
    <col min="11014" max="11014" width="22.85546875" style="4" bestFit="1" customWidth="1"/>
    <col min="11015" max="11015" width="21.28515625" style="4" customWidth="1"/>
    <col min="11016" max="11016" width="23.28515625" style="4" customWidth="1"/>
    <col min="11017" max="11261" width="8.85546875" style="4"/>
    <col min="11262" max="11262" width="9.28515625" style="4" bestFit="1" customWidth="1"/>
    <col min="11263" max="11263" width="13.7109375" style="4" bestFit="1" customWidth="1"/>
    <col min="11264" max="11264" width="8.85546875" style="4"/>
    <col min="11265" max="11265" width="7" style="4" bestFit="1" customWidth="1"/>
    <col min="11266" max="11266" width="13.28515625" style="4" bestFit="1" customWidth="1"/>
    <col min="11267" max="11267" width="7" style="4" customWidth="1"/>
    <col min="11268" max="11268" width="17.85546875" style="4" customWidth="1"/>
    <col min="11269" max="11269" width="14" style="4" bestFit="1" customWidth="1"/>
    <col min="11270" max="11270" width="22.85546875" style="4" bestFit="1" customWidth="1"/>
    <col min="11271" max="11271" width="21.28515625" style="4" customWidth="1"/>
    <col min="11272" max="11272" width="23.28515625" style="4" customWidth="1"/>
    <col min="11273" max="11517" width="8.85546875" style="4"/>
    <col min="11518" max="11518" width="9.28515625" style="4" bestFit="1" customWidth="1"/>
    <col min="11519" max="11519" width="13.7109375" style="4" bestFit="1" customWidth="1"/>
    <col min="11520" max="11520" width="8.85546875" style="4"/>
    <col min="11521" max="11521" width="7" style="4" bestFit="1" customWidth="1"/>
    <col min="11522" max="11522" width="13.28515625" style="4" bestFit="1" customWidth="1"/>
    <col min="11523" max="11523" width="7" style="4" customWidth="1"/>
    <col min="11524" max="11524" width="17.85546875" style="4" customWidth="1"/>
    <col min="11525" max="11525" width="14" style="4" bestFit="1" customWidth="1"/>
    <col min="11526" max="11526" width="22.85546875" style="4" bestFit="1" customWidth="1"/>
    <col min="11527" max="11527" width="21.28515625" style="4" customWidth="1"/>
    <col min="11528" max="11528" width="23.28515625" style="4" customWidth="1"/>
    <col min="11529" max="11773" width="8.85546875" style="4"/>
    <col min="11774" max="11774" width="9.28515625" style="4" bestFit="1" customWidth="1"/>
    <col min="11775" max="11775" width="13.7109375" style="4" bestFit="1" customWidth="1"/>
    <col min="11776" max="11776" width="8.85546875" style="4"/>
    <col min="11777" max="11777" width="7" style="4" bestFit="1" customWidth="1"/>
    <col min="11778" max="11778" width="13.28515625" style="4" bestFit="1" customWidth="1"/>
    <col min="11779" max="11779" width="7" style="4" customWidth="1"/>
    <col min="11780" max="11780" width="17.85546875" style="4" customWidth="1"/>
    <col min="11781" max="11781" width="14" style="4" bestFit="1" customWidth="1"/>
    <col min="11782" max="11782" width="22.85546875" style="4" bestFit="1" customWidth="1"/>
    <col min="11783" max="11783" width="21.28515625" style="4" customWidth="1"/>
    <col min="11784" max="11784" width="23.28515625" style="4" customWidth="1"/>
    <col min="11785" max="12029" width="8.85546875" style="4"/>
    <col min="12030" max="12030" width="9.28515625" style="4" bestFit="1" customWidth="1"/>
    <col min="12031" max="12031" width="13.7109375" style="4" bestFit="1" customWidth="1"/>
    <col min="12032" max="12032" width="8.85546875" style="4"/>
    <col min="12033" max="12033" width="7" style="4" bestFit="1" customWidth="1"/>
    <col min="12034" max="12034" width="13.28515625" style="4" bestFit="1" customWidth="1"/>
    <col min="12035" max="12035" width="7" style="4" customWidth="1"/>
    <col min="12036" max="12036" width="17.85546875" style="4" customWidth="1"/>
    <col min="12037" max="12037" width="14" style="4" bestFit="1" customWidth="1"/>
    <col min="12038" max="12038" width="22.85546875" style="4" bestFit="1" customWidth="1"/>
    <col min="12039" max="12039" width="21.28515625" style="4" customWidth="1"/>
    <col min="12040" max="12040" width="23.28515625" style="4" customWidth="1"/>
    <col min="12041" max="12285" width="8.85546875" style="4"/>
    <col min="12286" max="12286" width="9.28515625" style="4" bestFit="1" customWidth="1"/>
    <col min="12287" max="12287" width="13.7109375" style="4" bestFit="1" customWidth="1"/>
    <col min="12288" max="12288" width="8.85546875" style="4"/>
    <col min="12289" max="12289" width="7" style="4" bestFit="1" customWidth="1"/>
    <col min="12290" max="12290" width="13.28515625" style="4" bestFit="1" customWidth="1"/>
    <col min="12291" max="12291" width="7" style="4" customWidth="1"/>
    <col min="12292" max="12292" width="17.85546875" style="4" customWidth="1"/>
    <col min="12293" max="12293" width="14" style="4" bestFit="1" customWidth="1"/>
    <col min="12294" max="12294" width="22.85546875" style="4" bestFit="1" customWidth="1"/>
    <col min="12295" max="12295" width="21.28515625" style="4" customWidth="1"/>
    <col min="12296" max="12296" width="23.28515625" style="4" customWidth="1"/>
    <col min="12297" max="12541" width="8.85546875" style="4"/>
    <col min="12542" max="12542" width="9.28515625" style="4" bestFit="1" customWidth="1"/>
    <col min="12543" max="12543" width="13.7109375" style="4" bestFit="1" customWidth="1"/>
    <col min="12544" max="12544" width="8.85546875" style="4"/>
    <col min="12545" max="12545" width="7" style="4" bestFit="1" customWidth="1"/>
    <col min="12546" max="12546" width="13.28515625" style="4" bestFit="1" customWidth="1"/>
    <col min="12547" max="12547" width="7" style="4" customWidth="1"/>
    <col min="12548" max="12548" width="17.85546875" style="4" customWidth="1"/>
    <col min="12549" max="12549" width="14" style="4" bestFit="1" customWidth="1"/>
    <col min="12550" max="12550" width="22.85546875" style="4" bestFit="1" customWidth="1"/>
    <col min="12551" max="12551" width="21.28515625" style="4" customWidth="1"/>
    <col min="12552" max="12552" width="23.28515625" style="4" customWidth="1"/>
    <col min="12553" max="12797" width="8.85546875" style="4"/>
    <col min="12798" max="12798" width="9.28515625" style="4" bestFit="1" customWidth="1"/>
    <col min="12799" max="12799" width="13.7109375" style="4" bestFit="1" customWidth="1"/>
    <col min="12800" max="12800" width="8.85546875" style="4"/>
    <col min="12801" max="12801" width="7" style="4" bestFit="1" customWidth="1"/>
    <col min="12802" max="12802" width="13.28515625" style="4" bestFit="1" customWidth="1"/>
    <col min="12803" max="12803" width="7" style="4" customWidth="1"/>
    <col min="12804" max="12804" width="17.85546875" style="4" customWidth="1"/>
    <col min="12805" max="12805" width="14" style="4" bestFit="1" customWidth="1"/>
    <col min="12806" max="12806" width="22.85546875" style="4" bestFit="1" customWidth="1"/>
    <col min="12807" max="12807" width="21.28515625" style="4" customWidth="1"/>
    <col min="12808" max="12808" width="23.28515625" style="4" customWidth="1"/>
    <col min="12809" max="13053" width="8.85546875" style="4"/>
    <col min="13054" max="13054" width="9.28515625" style="4" bestFit="1" customWidth="1"/>
    <col min="13055" max="13055" width="13.7109375" style="4" bestFit="1" customWidth="1"/>
    <col min="13056" max="13056" width="8.85546875" style="4"/>
    <col min="13057" max="13057" width="7" style="4" bestFit="1" customWidth="1"/>
    <col min="13058" max="13058" width="13.28515625" style="4" bestFit="1" customWidth="1"/>
    <col min="13059" max="13059" width="7" style="4" customWidth="1"/>
    <col min="13060" max="13060" width="17.85546875" style="4" customWidth="1"/>
    <col min="13061" max="13061" width="14" style="4" bestFit="1" customWidth="1"/>
    <col min="13062" max="13062" width="22.85546875" style="4" bestFit="1" customWidth="1"/>
    <col min="13063" max="13063" width="21.28515625" style="4" customWidth="1"/>
    <col min="13064" max="13064" width="23.28515625" style="4" customWidth="1"/>
    <col min="13065" max="13309" width="8.85546875" style="4"/>
    <col min="13310" max="13310" width="9.28515625" style="4" bestFit="1" customWidth="1"/>
    <col min="13311" max="13311" width="13.7109375" style="4" bestFit="1" customWidth="1"/>
    <col min="13312" max="13312" width="8.85546875" style="4"/>
    <col min="13313" max="13313" width="7" style="4" bestFit="1" customWidth="1"/>
    <col min="13314" max="13314" width="13.28515625" style="4" bestFit="1" customWidth="1"/>
    <col min="13315" max="13315" width="7" style="4" customWidth="1"/>
    <col min="13316" max="13316" width="17.85546875" style="4" customWidth="1"/>
    <col min="13317" max="13317" width="14" style="4" bestFit="1" customWidth="1"/>
    <col min="13318" max="13318" width="22.85546875" style="4" bestFit="1" customWidth="1"/>
    <col min="13319" max="13319" width="21.28515625" style="4" customWidth="1"/>
    <col min="13320" max="13320" width="23.28515625" style="4" customWidth="1"/>
    <col min="13321" max="13565" width="8.85546875" style="4"/>
    <col min="13566" max="13566" width="9.28515625" style="4" bestFit="1" customWidth="1"/>
    <col min="13567" max="13567" width="13.7109375" style="4" bestFit="1" customWidth="1"/>
    <col min="13568" max="13568" width="8.85546875" style="4"/>
    <col min="13569" max="13569" width="7" style="4" bestFit="1" customWidth="1"/>
    <col min="13570" max="13570" width="13.28515625" style="4" bestFit="1" customWidth="1"/>
    <col min="13571" max="13571" width="7" style="4" customWidth="1"/>
    <col min="13572" max="13572" width="17.85546875" style="4" customWidth="1"/>
    <col min="13573" max="13573" width="14" style="4" bestFit="1" customWidth="1"/>
    <col min="13574" max="13574" width="22.85546875" style="4" bestFit="1" customWidth="1"/>
    <col min="13575" max="13575" width="21.28515625" style="4" customWidth="1"/>
    <col min="13576" max="13576" width="23.28515625" style="4" customWidth="1"/>
    <col min="13577" max="13821" width="8.85546875" style="4"/>
    <col min="13822" max="13822" width="9.28515625" style="4" bestFit="1" customWidth="1"/>
    <col min="13823" max="13823" width="13.7109375" style="4" bestFit="1" customWidth="1"/>
    <col min="13824" max="13824" width="8.85546875" style="4"/>
    <col min="13825" max="13825" width="7" style="4" bestFit="1" customWidth="1"/>
    <col min="13826" max="13826" width="13.28515625" style="4" bestFit="1" customWidth="1"/>
    <col min="13827" max="13827" width="7" style="4" customWidth="1"/>
    <col min="13828" max="13828" width="17.85546875" style="4" customWidth="1"/>
    <col min="13829" max="13829" width="14" style="4" bestFit="1" customWidth="1"/>
    <col min="13830" max="13830" width="22.85546875" style="4" bestFit="1" customWidth="1"/>
    <col min="13831" max="13831" width="21.28515625" style="4" customWidth="1"/>
    <col min="13832" max="13832" width="23.28515625" style="4" customWidth="1"/>
    <col min="13833" max="14077" width="8.85546875" style="4"/>
    <col min="14078" max="14078" width="9.28515625" style="4" bestFit="1" customWidth="1"/>
    <col min="14079" max="14079" width="13.7109375" style="4" bestFit="1" customWidth="1"/>
    <col min="14080" max="14080" width="8.85546875" style="4"/>
    <col min="14081" max="14081" width="7" style="4" bestFit="1" customWidth="1"/>
    <col min="14082" max="14082" width="13.28515625" style="4" bestFit="1" customWidth="1"/>
    <col min="14083" max="14083" width="7" style="4" customWidth="1"/>
    <col min="14084" max="14084" width="17.85546875" style="4" customWidth="1"/>
    <col min="14085" max="14085" width="14" style="4" bestFit="1" customWidth="1"/>
    <col min="14086" max="14086" width="22.85546875" style="4" bestFit="1" customWidth="1"/>
    <col min="14087" max="14087" width="21.28515625" style="4" customWidth="1"/>
    <col min="14088" max="14088" width="23.28515625" style="4" customWidth="1"/>
    <col min="14089" max="14333" width="8.85546875" style="4"/>
    <col min="14334" max="14334" width="9.28515625" style="4" bestFit="1" customWidth="1"/>
    <col min="14335" max="14335" width="13.7109375" style="4" bestFit="1" customWidth="1"/>
    <col min="14336" max="14336" width="8.85546875" style="4"/>
    <col min="14337" max="14337" width="7" style="4" bestFit="1" customWidth="1"/>
    <col min="14338" max="14338" width="13.28515625" style="4" bestFit="1" customWidth="1"/>
    <col min="14339" max="14339" width="7" style="4" customWidth="1"/>
    <col min="14340" max="14340" width="17.85546875" style="4" customWidth="1"/>
    <col min="14341" max="14341" width="14" style="4" bestFit="1" customWidth="1"/>
    <col min="14342" max="14342" width="22.85546875" style="4" bestFit="1" customWidth="1"/>
    <col min="14343" max="14343" width="21.28515625" style="4" customWidth="1"/>
    <col min="14344" max="14344" width="23.28515625" style="4" customWidth="1"/>
    <col min="14345" max="14589" width="8.85546875" style="4"/>
    <col min="14590" max="14590" width="9.28515625" style="4" bestFit="1" customWidth="1"/>
    <col min="14591" max="14591" width="13.7109375" style="4" bestFit="1" customWidth="1"/>
    <col min="14592" max="14592" width="8.85546875" style="4"/>
    <col min="14593" max="14593" width="7" style="4" bestFit="1" customWidth="1"/>
    <col min="14594" max="14594" width="13.28515625" style="4" bestFit="1" customWidth="1"/>
    <col min="14595" max="14595" width="7" style="4" customWidth="1"/>
    <col min="14596" max="14596" width="17.85546875" style="4" customWidth="1"/>
    <col min="14597" max="14597" width="14" style="4" bestFit="1" customWidth="1"/>
    <col min="14598" max="14598" width="22.85546875" style="4" bestFit="1" customWidth="1"/>
    <col min="14599" max="14599" width="21.28515625" style="4" customWidth="1"/>
    <col min="14600" max="14600" width="23.28515625" style="4" customWidth="1"/>
    <col min="14601" max="14845" width="8.85546875" style="4"/>
    <col min="14846" max="14846" width="9.28515625" style="4" bestFit="1" customWidth="1"/>
    <col min="14847" max="14847" width="13.7109375" style="4" bestFit="1" customWidth="1"/>
    <col min="14848" max="14848" width="8.85546875" style="4"/>
    <col min="14849" max="14849" width="7" style="4" bestFit="1" customWidth="1"/>
    <col min="14850" max="14850" width="13.28515625" style="4" bestFit="1" customWidth="1"/>
    <col min="14851" max="14851" width="7" style="4" customWidth="1"/>
    <col min="14852" max="14852" width="17.85546875" style="4" customWidth="1"/>
    <col min="14853" max="14853" width="14" style="4" bestFit="1" customWidth="1"/>
    <col min="14854" max="14854" width="22.85546875" style="4" bestFit="1" customWidth="1"/>
    <col min="14855" max="14855" width="21.28515625" style="4" customWidth="1"/>
    <col min="14856" max="14856" width="23.28515625" style="4" customWidth="1"/>
    <col min="14857" max="15101" width="8.85546875" style="4"/>
    <col min="15102" max="15102" width="9.28515625" style="4" bestFit="1" customWidth="1"/>
    <col min="15103" max="15103" width="13.7109375" style="4" bestFit="1" customWidth="1"/>
    <col min="15104" max="15104" width="8.85546875" style="4"/>
    <col min="15105" max="15105" width="7" style="4" bestFit="1" customWidth="1"/>
    <col min="15106" max="15106" width="13.28515625" style="4" bestFit="1" customWidth="1"/>
    <col min="15107" max="15107" width="7" style="4" customWidth="1"/>
    <col min="15108" max="15108" width="17.85546875" style="4" customWidth="1"/>
    <col min="15109" max="15109" width="14" style="4" bestFit="1" customWidth="1"/>
    <col min="15110" max="15110" width="22.85546875" style="4" bestFit="1" customWidth="1"/>
    <col min="15111" max="15111" width="21.28515625" style="4" customWidth="1"/>
    <col min="15112" max="15112" width="23.28515625" style="4" customWidth="1"/>
    <col min="15113" max="15357" width="8.85546875" style="4"/>
    <col min="15358" max="15358" width="9.28515625" style="4" bestFit="1" customWidth="1"/>
    <col min="15359" max="15359" width="13.7109375" style="4" bestFit="1" customWidth="1"/>
    <col min="15360" max="15360" width="8.85546875" style="4"/>
    <col min="15361" max="15361" width="7" style="4" bestFit="1" customWidth="1"/>
    <col min="15362" max="15362" width="13.28515625" style="4" bestFit="1" customWidth="1"/>
    <col min="15363" max="15363" width="7" style="4" customWidth="1"/>
    <col min="15364" max="15364" width="17.85546875" style="4" customWidth="1"/>
    <col min="15365" max="15365" width="14" style="4" bestFit="1" customWidth="1"/>
    <col min="15366" max="15366" width="22.85546875" style="4" bestFit="1" customWidth="1"/>
    <col min="15367" max="15367" width="21.28515625" style="4" customWidth="1"/>
    <col min="15368" max="15368" width="23.28515625" style="4" customWidth="1"/>
    <col min="15369" max="15613" width="8.85546875" style="4"/>
    <col min="15614" max="15614" width="9.28515625" style="4" bestFit="1" customWidth="1"/>
    <col min="15615" max="15615" width="13.7109375" style="4" bestFit="1" customWidth="1"/>
    <col min="15616" max="15616" width="8.85546875" style="4"/>
    <col min="15617" max="15617" width="7" style="4" bestFit="1" customWidth="1"/>
    <col min="15618" max="15618" width="13.28515625" style="4" bestFit="1" customWidth="1"/>
    <col min="15619" max="15619" width="7" style="4" customWidth="1"/>
    <col min="15620" max="15620" width="17.85546875" style="4" customWidth="1"/>
    <col min="15621" max="15621" width="14" style="4" bestFit="1" customWidth="1"/>
    <col min="15622" max="15622" width="22.85546875" style="4" bestFit="1" customWidth="1"/>
    <col min="15623" max="15623" width="21.28515625" style="4" customWidth="1"/>
    <col min="15624" max="15624" width="23.28515625" style="4" customWidth="1"/>
    <col min="15625" max="15869" width="8.85546875" style="4"/>
    <col min="15870" max="15870" width="9.28515625" style="4" bestFit="1" customWidth="1"/>
    <col min="15871" max="15871" width="13.7109375" style="4" bestFit="1" customWidth="1"/>
    <col min="15872" max="15872" width="8.85546875" style="4"/>
    <col min="15873" max="15873" width="7" style="4" bestFit="1" customWidth="1"/>
    <col min="15874" max="15874" width="13.28515625" style="4" bestFit="1" customWidth="1"/>
    <col min="15875" max="15875" width="7" style="4" customWidth="1"/>
    <col min="15876" max="15876" width="17.85546875" style="4" customWidth="1"/>
    <col min="15877" max="15877" width="14" style="4" bestFit="1" customWidth="1"/>
    <col min="15878" max="15878" width="22.85546875" style="4" bestFit="1" customWidth="1"/>
    <col min="15879" max="15879" width="21.28515625" style="4" customWidth="1"/>
    <col min="15880" max="15880" width="23.28515625" style="4" customWidth="1"/>
    <col min="15881" max="16125" width="8.85546875" style="4"/>
    <col min="16126" max="16126" width="9.28515625" style="4" bestFit="1" customWidth="1"/>
    <col min="16127" max="16127" width="13.7109375" style="4" bestFit="1" customWidth="1"/>
    <col min="16128" max="16128" width="8.85546875" style="4"/>
    <col min="16129" max="16129" width="7" style="4" bestFit="1" customWidth="1"/>
    <col min="16130" max="16130" width="13.28515625" style="4" bestFit="1" customWidth="1"/>
    <col min="16131" max="16131" width="7" style="4" customWidth="1"/>
    <col min="16132" max="16132" width="17.85546875" style="4" customWidth="1"/>
    <col min="16133" max="16133" width="14" style="4" bestFit="1" customWidth="1"/>
    <col min="16134" max="16134" width="22.85546875" style="4" bestFit="1" customWidth="1"/>
    <col min="16135" max="16135" width="21.28515625" style="4" customWidth="1"/>
    <col min="16136" max="16136" width="23.28515625" style="4" customWidth="1"/>
    <col min="16137" max="16384" width="8.85546875" style="4"/>
  </cols>
  <sheetData>
    <row r="1" spans="2:8" ht="13.5" thickBot="1" x14ac:dyDescent="0.25">
      <c r="B1" s="1"/>
      <c r="C1" s="2"/>
      <c r="D1" s="3"/>
      <c r="E1" s="2"/>
      <c r="F1" s="2"/>
      <c r="G1" s="2"/>
      <c r="H1" s="2"/>
    </row>
    <row r="2" spans="2:8" x14ac:dyDescent="0.2">
      <c r="B2" s="5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/>
      <c r="H2" s="8" t="s">
        <v>8</v>
      </c>
    </row>
    <row r="3" spans="2:8" x14ac:dyDescent="0.2">
      <c r="B3" s="9">
        <v>1</v>
      </c>
      <c r="C3" s="10" t="s">
        <v>9</v>
      </c>
      <c r="D3" s="11">
        <f>(62*83*48)/1000000</f>
        <v>0.24700800000000001</v>
      </c>
      <c r="E3" s="10">
        <f>0.62*0.83</f>
        <v>0.51459999999999995</v>
      </c>
      <c r="F3" s="10">
        <f>3.3</f>
        <v>3.3</v>
      </c>
      <c r="G3" s="10"/>
      <c r="H3" s="12" t="s">
        <v>10</v>
      </c>
    </row>
    <row r="4" spans="2:8" x14ac:dyDescent="0.2">
      <c r="B4" s="9">
        <v>2</v>
      </c>
      <c r="C4" s="10" t="s">
        <v>11</v>
      </c>
      <c r="D4" s="11">
        <f t="shared" ref="D4:D6" si="0">(62*83*48)/1000000</f>
        <v>0.24700800000000001</v>
      </c>
      <c r="E4" s="10">
        <f t="shared" ref="E4:E22" si="1">0.62*0.83</f>
        <v>0.51459999999999995</v>
      </c>
      <c r="F4" s="10">
        <f t="shared" ref="F4:F22" si="2">3.3</f>
        <v>3.3</v>
      </c>
      <c r="G4" s="10"/>
      <c r="H4" s="12" t="s">
        <v>10</v>
      </c>
    </row>
    <row r="5" spans="2:8" x14ac:dyDescent="0.2">
      <c r="B5" s="9">
        <v>3</v>
      </c>
      <c r="C5" s="10" t="s">
        <v>11</v>
      </c>
      <c r="D5" s="11">
        <f t="shared" si="0"/>
        <v>0.24700800000000001</v>
      </c>
      <c r="E5" s="10">
        <f t="shared" si="1"/>
        <v>0.51459999999999995</v>
      </c>
      <c r="F5" s="10">
        <f t="shared" si="2"/>
        <v>3.3</v>
      </c>
      <c r="G5" s="10"/>
      <c r="H5" s="12" t="s">
        <v>10</v>
      </c>
    </row>
    <row r="6" spans="2:8" x14ac:dyDescent="0.2">
      <c r="B6" s="9">
        <v>4</v>
      </c>
      <c r="C6" s="10" t="s">
        <v>11</v>
      </c>
      <c r="D6" s="11">
        <f t="shared" si="0"/>
        <v>0.24700800000000001</v>
      </c>
      <c r="E6" s="10">
        <f t="shared" si="1"/>
        <v>0.51459999999999995</v>
      </c>
      <c r="F6" s="10">
        <f t="shared" si="2"/>
        <v>3.3</v>
      </c>
      <c r="G6" s="10"/>
      <c r="H6" s="12" t="s">
        <v>10</v>
      </c>
    </row>
    <row r="7" spans="2:8" x14ac:dyDescent="0.2">
      <c r="B7" s="9">
        <v>5</v>
      </c>
      <c r="C7" s="10" t="s">
        <v>12</v>
      </c>
      <c r="D7" s="11">
        <f>(62*83*107)/1000000</f>
        <v>0.55062199999999994</v>
      </c>
      <c r="E7" s="10">
        <f t="shared" si="1"/>
        <v>0.51459999999999995</v>
      </c>
      <c r="F7" s="10">
        <f t="shared" si="2"/>
        <v>3.3</v>
      </c>
      <c r="G7" s="10"/>
      <c r="H7" s="12" t="s">
        <v>10</v>
      </c>
    </row>
    <row r="8" spans="2:8" x14ac:dyDescent="0.2">
      <c r="B8" s="9">
        <v>6</v>
      </c>
      <c r="C8" s="10" t="s">
        <v>12</v>
      </c>
      <c r="D8" s="11">
        <f t="shared" ref="D8:D10" si="3">(62*83*107)/1000000</f>
        <v>0.55062199999999994</v>
      </c>
      <c r="E8" s="10">
        <f t="shared" si="1"/>
        <v>0.51459999999999995</v>
      </c>
      <c r="F8" s="10">
        <f t="shared" si="2"/>
        <v>3.3</v>
      </c>
      <c r="G8" s="10"/>
      <c r="H8" s="12" t="s">
        <v>10</v>
      </c>
    </row>
    <row r="9" spans="2:8" x14ac:dyDescent="0.2">
      <c r="B9" s="9">
        <v>7</v>
      </c>
      <c r="C9" s="10" t="s">
        <v>12</v>
      </c>
      <c r="D9" s="11">
        <f t="shared" si="3"/>
        <v>0.55062199999999994</v>
      </c>
      <c r="E9" s="10">
        <f t="shared" si="1"/>
        <v>0.51459999999999995</v>
      </c>
      <c r="F9" s="10">
        <f t="shared" si="2"/>
        <v>3.3</v>
      </c>
      <c r="G9" s="10"/>
      <c r="H9" s="12" t="s">
        <v>10</v>
      </c>
    </row>
    <row r="10" spans="2:8" x14ac:dyDescent="0.2">
      <c r="B10" s="9">
        <v>8</v>
      </c>
      <c r="C10" s="10" t="s">
        <v>12</v>
      </c>
      <c r="D10" s="11">
        <f t="shared" si="3"/>
        <v>0.55062199999999994</v>
      </c>
      <c r="E10" s="10">
        <f t="shared" si="1"/>
        <v>0.51459999999999995</v>
      </c>
      <c r="F10" s="10">
        <f t="shared" si="2"/>
        <v>3.3</v>
      </c>
      <c r="G10" s="10"/>
      <c r="H10" s="12" t="s">
        <v>10</v>
      </c>
    </row>
    <row r="11" spans="2:8" x14ac:dyDescent="0.2">
      <c r="B11" s="9">
        <v>9</v>
      </c>
      <c r="C11" s="10" t="s">
        <v>13</v>
      </c>
      <c r="D11" s="11">
        <f>(62*83*138)/1000000</f>
        <v>0.710148</v>
      </c>
      <c r="E11" s="10">
        <f t="shared" si="1"/>
        <v>0.51459999999999995</v>
      </c>
      <c r="F11" s="10">
        <f t="shared" si="2"/>
        <v>3.3</v>
      </c>
      <c r="G11" s="10"/>
      <c r="H11" s="12" t="s">
        <v>10</v>
      </c>
    </row>
    <row r="12" spans="2:8" x14ac:dyDescent="0.2">
      <c r="B12" s="9">
        <v>10</v>
      </c>
      <c r="C12" s="10" t="s">
        <v>13</v>
      </c>
      <c r="D12" s="11">
        <f t="shared" ref="D12:D14" si="4">(62*83*138)/1000000</f>
        <v>0.710148</v>
      </c>
      <c r="E12" s="10">
        <f t="shared" si="1"/>
        <v>0.51459999999999995</v>
      </c>
      <c r="F12" s="10">
        <f t="shared" si="2"/>
        <v>3.3</v>
      </c>
      <c r="G12" s="10"/>
      <c r="H12" s="12" t="s">
        <v>10</v>
      </c>
    </row>
    <row r="13" spans="2:8" x14ac:dyDescent="0.2">
      <c r="B13" s="9">
        <v>11</v>
      </c>
      <c r="C13" s="10" t="s">
        <v>13</v>
      </c>
      <c r="D13" s="11">
        <f t="shared" si="4"/>
        <v>0.710148</v>
      </c>
      <c r="E13" s="10">
        <f t="shared" si="1"/>
        <v>0.51459999999999995</v>
      </c>
      <c r="F13" s="10">
        <f t="shared" si="2"/>
        <v>3.3</v>
      </c>
      <c r="G13" s="10"/>
      <c r="H13" s="12" t="s">
        <v>10</v>
      </c>
    </row>
    <row r="14" spans="2:8" x14ac:dyDescent="0.2">
      <c r="B14" s="9">
        <v>12</v>
      </c>
      <c r="C14" s="10" t="s">
        <v>13</v>
      </c>
      <c r="D14" s="11">
        <f t="shared" si="4"/>
        <v>0.710148</v>
      </c>
      <c r="E14" s="10">
        <f t="shared" si="1"/>
        <v>0.51459999999999995</v>
      </c>
      <c r="F14" s="10">
        <f t="shared" si="2"/>
        <v>3.3</v>
      </c>
      <c r="G14" s="10"/>
      <c r="H14" s="12" t="s">
        <v>10</v>
      </c>
    </row>
    <row r="15" spans="2:8" x14ac:dyDescent="0.2">
      <c r="B15" s="9">
        <v>13</v>
      </c>
      <c r="C15" s="10" t="s">
        <v>14</v>
      </c>
      <c r="D15" s="11">
        <f>(62*82*165)/1000000</f>
        <v>0.83886000000000005</v>
      </c>
      <c r="E15" s="10">
        <f t="shared" si="1"/>
        <v>0.51459999999999995</v>
      </c>
      <c r="F15" s="10">
        <f t="shared" si="2"/>
        <v>3.3</v>
      </c>
      <c r="G15" s="10"/>
      <c r="H15" s="12" t="s">
        <v>10</v>
      </c>
    </row>
    <row r="16" spans="2:8" x14ac:dyDescent="0.2">
      <c r="B16" s="9">
        <v>14</v>
      </c>
      <c r="C16" s="10" t="s">
        <v>14</v>
      </c>
      <c r="D16" s="11">
        <f t="shared" ref="D16:D18" si="5">(62*82*165)/1000000</f>
        <v>0.83886000000000005</v>
      </c>
      <c r="E16" s="10">
        <f t="shared" si="1"/>
        <v>0.51459999999999995</v>
      </c>
      <c r="F16" s="10">
        <f t="shared" si="2"/>
        <v>3.3</v>
      </c>
      <c r="G16" s="10"/>
      <c r="H16" s="12" t="s">
        <v>10</v>
      </c>
    </row>
    <row r="17" spans="2:8" x14ac:dyDescent="0.2">
      <c r="B17" s="9">
        <v>15</v>
      </c>
      <c r="C17" s="10" t="s">
        <v>14</v>
      </c>
      <c r="D17" s="11">
        <f t="shared" si="5"/>
        <v>0.83886000000000005</v>
      </c>
      <c r="E17" s="10">
        <f t="shared" si="1"/>
        <v>0.51459999999999995</v>
      </c>
      <c r="F17" s="10">
        <f t="shared" si="2"/>
        <v>3.3</v>
      </c>
      <c r="G17" s="10"/>
      <c r="H17" s="12" t="s">
        <v>10</v>
      </c>
    </row>
    <row r="18" spans="2:8" x14ac:dyDescent="0.2">
      <c r="B18" s="9">
        <v>16</v>
      </c>
      <c r="C18" s="10" t="s">
        <v>14</v>
      </c>
      <c r="D18" s="11">
        <f t="shared" si="5"/>
        <v>0.83886000000000005</v>
      </c>
      <c r="E18" s="10">
        <f t="shared" si="1"/>
        <v>0.51459999999999995</v>
      </c>
      <c r="F18" s="10">
        <f t="shared" si="2"/>
        <v>3.3</v>
      </c>
      <c r="G18" s="10"/>
      <c r="H18" s="12" t="s">
        <v>10</v>
      </c>
    </row>
    <row r="19" spans="2:8" x14ac:dyDescent="0.2">
      <c r="B19" s="9">
        <v>17</v>
      </c>
      <c r="C19" s="10" t="s">
        <v>15</v>
      </c>
      <c r="D19" s="11">
        <f>(65*80*172)/1000000</f>
        <v>0.89439999999999997</v>
      </c>
      <c r="E19" s="10">
        <f t="shared" si="1"/>
        <v>0.51459999999999995</v>
      </c>
      <c r="F19" s="10">
        <f t="shared" si="2"/>
        <v>3.3</v>
      </c>
      <c r="G19" s="10"/>
      <c r="H19" s="12" t="s">
        <v>10</v>
      </c>
    </row>
    <row r="20" spans="2:8" x14ac:dyDescent="0.2">
      <c r="B20" s="9">
        <v>18</v>
      </c>
      <c r="C20" s="10" t="s">
        <v>15</v>
      </c>
      <c r="D20" s="11">
        <f t="shared" ref="D20:D22" si="6">(65*80*172)/1000000</f>
        <v>0.89439999999999997</v>
      </c>
      <c r="E20" s="10">
        <f t="shared" si="1"/>
        <v>0.51459999999999995</v>
      </c>
      <c r="F20" s="10">
        <f t="shared" si="2"/>
        <v>3.3</v>
      </c>
      <c r="G20" s="10"/>
      <c r="H20" s="12" t="s">
        <v>10</v>
      </c>
    </row>
    <row r="21" spans="2:8" x14ac:dyDescent="0.2">
      <c r="B21" s="9">
        <v>19</v>
      </c>
      <c r="C21" s="10" t="s">
        <v>15</v>
      </c>
      <c r="D21" s="11">
        <f t="shared" si="6"/>
        <v>0.89439999999999997</v>
      </c>
      <c r="E21" s="10">
        <f t="shared" si="1"/>
        <v>0.51459999999999995</v>
      </c>
      <c r="F21" s="10">
        <f t="shared" si="2"/>
        <v>3.3</v>
      </c>
      <c r="G21" s="10"/>
      <c r="H21" s="12" t="s">
        <v>10</v>
      </c>
    </row>
    <row r="22" spans="2:8" x14ac:dyDescent="0.2">
      <c r="B22" s="9">
        <v>20</v>
      </c>
      <c r="C22" s="10" t="s">
        <v>15</v>
      </c>
      <c r="D22" s="11">
        <f t="shared" si="6"/>
        <v>0.89439999999999997</v>
      </c>
      <c r="E22" s="10">
        <f t="shared" si="1"/>
        <v>0.51459999999999995</v>
      </c>
      <c r="F22" s="10">
        <f t="shared" si="2"/>
        <v>3.3</v>
      </c>
      <c r="G22" s="10"/>
      <c r="H22" s="12" t="s">
        <v>10</v>
      </c>
    </row>
    <row r="23" spans="2:8" x14ac:dyDescent="0.2">
      <c r="B23" s="9">
        <v>21</v>
      </c>
      <c r="C23" s="10" t="s">
        <v>16</v>
      </c>
      <c r="D23" s="11">
        <f>(123*84*125)/1000000</f>
        <v>1.2915000000000001</v>
      </c>
      <c r="E23" s="10">
        <f>1.23*0.84</f>
        <v>1.0331999999999999</v>
      </c>
      <c r="F23" s="10">
        <v>4.7</v>
      </c>
      <c r="G23" s="10"/>
      <c r="H23" s="12" t="s">
        <v>17</v>
      </c>
    </row>
    <row r="24" spans="2:8" x14ac:dyDescent="0.2">
      <c r="B24" s="9">
        <v>22</v>
      </c>
      <c r="C24" s="10" t="s">
        <v>16</v>
      </c>
      <c r="D24" s="11">
        <f t="shared" ref="D24:D25" si="7">(123*84*125)/1000000</f>
        <v>1.2915000000000001</v>
      </c>
      <c r="E24" s="10">
        <f t="shared" ref="E24:E50" si="8">1.23*0.84</f>
        <v>1.0331999999999999</v>
      </c>
      <c r="F24" s="10">
        <v>4.7</v>
      </c>
      <c r="G24" s="10"/>
      <c r="H24" s="12" t="s">
        <v>17</v>
      </c>
    </row>
    <row r="25" spans="2:8" x14ac:dyDescent="0.2">
      <c r="B25" s="9">
        <v>23</v>
      </c>
      <c r="C25" s="10" t="s">
        <v>16</v>
      </c>
      <c r="D25" s="11">
        <f t="shared" si="7"/>
        <v>1.2915000000000001</v>
      </c>
      <c r="E25" s="10">
        <f t="shared" si="8"/>
        <v>1.0331999999999999</v>
      </c>
      <c r="F25" s="10">
        <v>4.7</v>
      </c>
      <c r="G25" s="10"/>
      <c r="H25" s="12" t="s">
        <v>17</v>
      </c>
    </row>
    <row r="26" spans="2:8" x14ac:dyDescent="0.2">
      <c r="B26" s="9">
        <v>24</v>
      </c>
      <c r="C26" s="10" t="s">
        <v>18</v>
      </c>
      <c r="D26" s="11">
        <f>(123*84*125)/1000000</f>
        <v>1.2915000000000001</v>
      </c>
      <c r="E26" s="10">
        <f t="shared" si="8"/>
        <v>1.0331999999999999</v>
      </c>
      <c r="F26" s="10">
        <v>4.7</v>
      </c>
      <c r="G26" s="10"/>
      <c r="H26" s="12" t="s">
        <v>17</v>
      </c>
    </row>
    <row r="27" spans="2:8" x14ac:dyDescent="0.2">
      <c r="B27" s="9">
        <v>25</v>
      </c>
      <c r="C27" s="10" t="s">
        <v>18</v>
      </c>
      <c r="D27" s="11">
        <f>(126*80*146)/1000000</f>
        <v>1.4716800000000001</v>
      </c>
      <c r="E27" s="10">
        <f t="shared" si="8"/>
        <v>1.0331999999999999</v>
      </c>
      <c r="F27" s="10">
        <v>4.7</v>
      </c>
      <c r="G27" s="10"/>
      <c r="H27" s="12" t="s">
        <v>17</v>
      </c>
    </row>
    <row r="28" spans="2:8" x14ac:dyDescent="0.2">
      <c r="B28" s="9">
        <v>26</v>
      </c>
      <c r="C28" s="10" t="s">
        <v>19</v>
      </c>
      <c r="D28" s="11">
        <f t="shared" ref="D28:D32" si="9">(126*80*146)/1000000</f>
        <v>1.4716800000000001</v>
      </c>
      <c r="E28" s="10">
        <f t="shared" si="8"/>
        <v>1.0331999999999999</v>
      </c>
      <c r="F28" s="10">
        <v>4.7</v>
      </c>
      <c r="G28" s="10"/>
      <c r="H28" s="12" t="s">
        <v>17</v>
      </c>
    </row>
    <row r="29" spans="2:8" x14ac:dyDescent="0.2">
      <c r="B29" s="9">
        <v>27</v>
      </c>
      <c r="C29" s="10" t="s">
        <v>19</v>
      </c>
      <c r="D29" s="11">
        <f t="shared" si="9"/>
        <v>1.4716800000000001</v>
      </c>
      <c r="E29" s="10">
        <f t="shared" si="8"/>
        <v>1.0331999999999999</v>
      </c>
      <c r="F29" s="10">
        <v>4.7</v>
      </c>
      <c r="G29" s="10"/>
      <c r="H29" s="12" t="s">
        <v>17</v>
      </c>
    </row>
    <row r="30" spans="2:8" x14ac:dyDescent="0.2">
      <c r="B30" s="9">
        <v>28</v>
      </c>
      <c r="C30" s="10" t="s">
        <v>19</v>
      </c>
      <c r="D30" s="11">
        <f t="shared" si="9"/>
        <v>1.4716800000000001</v>
      </c>
      <c r="E30" s="10">
        <f t="shared" si="8"/>
        <v>1.0331999999999999</v>
      </c>
      <c r="F30" s="10">
        <v>4.7</v>
      </c>
      <c r="G30" s="10"/>
      <c r="H30" s="12" t="s">
        <v>17</v>
      </c>
    </row>
    <row r="31" spans="2:8" x14ac:dyDescent="0.2">
      <c r="B31" s="9">
        <v>29</v>
      </c>
      <c r="C31" s="10" t="s">
        <v>19</v>
      </c>
      <c r="D31" s="11">
        <f t="shared" si="9"/>
        <v>1.4716800000000001</v>
      </c>
      <c r="E31" s="10">
        <f t="shared" si="8"/>
        <v>1.0331999999999999</v>
      </c>
      <c r="F31" s="10">
        <v>4.7</v>
      </c>
      <c r="G31" s="10"/>
      <c r="H31" s="12" t="s">
        <v>17</v>
      </c>
    </row>
    <row r="32" spans="2:8" x14ac:dyDescent="0.2">
      <c r="B32" s="9">
        <v>30</v>
      </c>
      <c r="C32" s="10" t="s">
        <v>19</v>
      </c>
      <c r="D32" s="11">
        <f t="shared" si="9"/>
        <v>1.4716800000000001</v>
      </c>
      <c r="E32" s="10">
        <f t="shared" si="8"/>
        <v>1.0331999999999999</v>
      </c>
      <c r="F32" s="10">
        <v>4.7</v>
      </c>
      <c r="G32" s="10"/>
      <c r="H32" s="12" t="s">
        <v>17</v>
      </c>
    </row>
    <row r="33" spans="2:8" x14ac:dyDescent="0.2">
      <c r="B33" s="9">
        <v>31</v>
      </c>
      <c r="C33" s="10" t="s">
        <v>20</v>
      </c>
      <c r="D33" s="11">
        <f>(123*83*160)/1000000</f>
        <v>1.63344</v>
      </c>
      <c r="E33" s="10">
        <f t="shared" si="8"/>
        <v>1.0331999999999999</v>
      </c>
      <c r="F33" s="10">
        <v>4.7</v>
      </c>
      <c r="G33" s="10"/>
      <c r="H33" s="12" t="s">
        <v>17</v>
      </c>
    </row>
    <row r="34" spans="2:8" x14ac:dyDescent="0.2">
      <c r="B34" s="9">
        <v>32</v>
      </c>
      <c r="C34" s="10" t="s">
        <v>20</v>
      </c>
      <c r="D34" s="11">
        <f t="shared" ref="D34:D38" si="10">(123*83*160)/1000000</f>
        <v>1.63344</v>
      </c>
      <c r="E34" s="10">
        <f t="shared" si="8"/>
        <v>1.0331999999999999</v>
      </c>
      <c r="F34" s="10">
        <v>4.7</v>
      </c>
      <c r="G34" s="10"/>
      <c r="H34" s="12" t="s">
        <v>17</v>
      </c>
    </row>
    <row r="35" spans="2:8" x14ac:dyDescent="0.2">
      <c r="B35" s="9">
        <v>33</v>
      </c>
      <c r="C35" s="10" t="s">
        <v>20</v>
      </c>
      <c r="D35" s="11">
        <f t="shared" si="10"/>
        <v>1.63344</v>
      </c>
      <c r="E35" s="10">
        <f t="shared" si="8"/>
        <v>1.0331999999999999</v>
      </c>
      <c r="F35" s="10">
        <v>4.7</v>
      </c>
      <c r="G35" s="10"/>
      <c r="H35" s="12" t="s">
        <v>17</v>
      </c>
    </row>
    <row r="36" spans="2:8" x14ac:dyDescent="0.2">
      <c r="B36" s="9">
        <v>34</v>
      </c>
      <c r="C36" s="10" t="s">
        <v>20</v>
      </c>
      <c r="D36" s="11">
        <f t="shared" si="10"/>
        <v>1.63344</v>
      </c>
      <c r="E36" s="10">
        <f t="shared" si="8"/>
        <v>1.0331999999999999</v>
      </c>
      <c r="F36" s="10">
        <v>4.7</v>
      </c>
      <c r="G36" s="10"/>
      <c r="H36" s="12" t="s">
        <v>17</v>
      </c>
    </row>
    <row r="37" spans="2:8" x14ac:dyDescent="0.2">
      <c r="B37" s="9">
        <v>35</v>
      </c>
      <c r="C37" s="10" t="s">
        <v>20</v>
      </c>
      <c r="D37" s="11">
        <f t="shared" si="10"/>
        <v>1.63344</v>
      </c>
      <c r="E37" s="10">
        <f t="shared" si="8"/>
        <v>1.0331999999999999</v>
      </c>
      <c r="F37" s="10">
        <v>4.7</v>
      </c>
      <c r="G37" s="10"/>
      <c r="H37" s="12" t="s">
        <v>17</v>
      </c>
    </row>
    <row r="38" spans="2:8" x14ac:dyDescent="0.2">
      <c r="B38" s="9">
        <v>36</v>
      </c>
      <c r="C38" s="10" t="s">
        <v>20</v>
      </c>
      <c r="D38" s="11">
        <f t="shared" si="10"/>
        <v>1.63344</v>
      </c>
      <c r="E38" s="10">
        <f t="shared" si="8"/>
        <v>1.0331999999999999</v>
      </c>
      <c r="F38" s="10">
        <v>4.7</v>
      </c>
      <c r="G38" s="10"/>
      <c r="H38" s="12" t="s">
        <v>17</v>
      </c>
    </row>
    <row r="39" spans="2:8" x14ac:dyDescent="0.2">
      <c r="B39" s="9">
        <v>37</v>
      </c>
      <c r="C39" s="10" t="s">
        <v>21</v>
      </c>
      <c r="D39" s="11">
        <f>(124*85*200)/1000000</f>
        <v>2.1080000000000001</v>
      </c>
      <c r="E39" s="10">
        <f t="shared" si="8"/>
        <v>1.0331999999999999</v>
      </c>
      <c r="F39" s="10">
        <v>4.7</v>
      </c>
      <c r="G39" s="10"/>
      <c r="H39" s="12" t="s">
        <v>17</v>
      </c>
    </row>
    <row r="40" spans="2:8" x14ac:dyDescent="0.2">
      <c r="B40" s="9">
        <v>38</v>
      </c>
      <c r="C40" s="10" t="s">
        <v>21</v>
      </c>
      <c r="D40" s="11">
        <f t="shared" ref="D40:D44" si="11">(124*85*200)/1000000</f>
        <v>2.1080000000000001</v>
      </c>
      <c r="E40" s="10">
        <f t="shared" si="8"/>
        <v>1.0331999999999999</v>
      </c>
      <c r="F40" s="10">
        <v>4.7</v>
      </c>
      <c r="G40" s="10"/>
      <c r="H40" s="12" t="s">
        <v>17</v>
      </c>
    </row>
    <row r="41" spans="2:8" x14ac:dyDescent="0.2">
      <c r="B41" s="9">
        <v>39</v>
      </c>
      <c r="C41" s="10" t="s">
        <v>21</v>
      </c>
      <c r="D41" s="11">
        <f t="shared" si="11"/>
        <v>2.1080000000000001</v>
      </c>
      <c r="E41" s="10">
        <f t="shared" si="8"/>
        <v>1.0331999999999999</v>
      </c>
      <c r="F41" s="10">
        <v>4.7</v>
      </c>
      <c r="G41" s="10"/>
      <c r="H41" s="12" t="s">
        <v>17</v>
      </c>
    </row>
    <row r="42" spans="2:8" x14ac:dyDescent="0.2">
      <c r="B42" s="9">
        <v>40</v>
      </c>
      <c r="C42" s="10" t="s">
        <v>21</v>
      </c>
      <c r="D42" s="11">
        <f t="shared" si="11"/>
        <v>2.1080000000000001</v>
      </c>
      <c r="E42" s="10">
        <f t="shared" si="8"/>
        <v>1.0331999999999999</v>
      </c>
      <c r="F42" s="10">
        <v>4.7</v>
      </c>
      <c r="G42" s="10"/>
      <c r="H42" s="12" t="s">
        <v>17</v>
      </c>
    </row>
    <row r="43" spans="2:8" x14ac:dyDescent="0.2">
      <c r="B43" s="9">
        <v>41</v>
      </c>
      <c r="C43" s="10" t="s">
        <v>21</v>
      </c>
      <c r="D43" s="11">
        <f t="shared" si="11"/>
        <v>2.1080000000000001</v>
      </c>
      <c r="E43" s="10">
        <f t="shared" si="8"/>
        <v>1.0331999999999999</v>
      </c>
      <c r="F43" s="10">
        <v>4.7</v>
      </c>
      <c r="G43" s="10"/>
      <c r="H43" s="12" t="s">
        <v>17</v>
      </c>
    </row>
    <row r="44" spans="2:8" x14ac:dyDescent="0.2">
      <c r="B44" s="9">
        <v>42</v>
      </c>
      <c r="C44" s="10" t="s">
        <v>21</v>
      </c>
      <c r="D44" s="11">
        <f t="shared" si="11"/>
        <v>2.1080000000000001</v>
      </c>
      <c r="E44" s="10">
        <f t="shared" si="8"/>
        <v>1.0331999999999999</v>
      </c>
      <c r="F44" s="10">
        <v>4.7</v>
      </c>
      <c r="G44" s="10"/>
      <c r="H44" s="12" t="s">
        <v>17</v>
      </c>
    </row>
    <row r="45" spans="2:8" x14ac:dyDescent="0.2">
      <c r="B45" s="9">
        <v>43</v>
      </c>
      <c r="C45" s="10" t="s">
        <v>22</v>
      </c>
      <c r="D45" s="11">
        <f>(124*80*208)/1000000</f>
        <v>2.0633599999999999</v>
      </c>
      <c r="E45" s="10">
        <f t="shared" si="8"/>
        <v>1.0331999999999999</v>
      </c>
      <c r="F45" s="10">
        <v>4.7</v>
      </c>
      <c r="G45" s="10"/>
      <c r="H45" s="12" t="s">
        <v>17</v>
      </c>
    </row>
    <row r="46" spans="2:8" x14ac:dyDescent="0.2">
      <c r="B46" s="9">
        <v>44</v>
      </c>
      <c r="C46" s="10" t="s">
        <v>22</v>
      </c>
      <c r="D46" s="11">
        <f t="shared" ref="D46:D50" si="12">(124*80*208)/1000000</f>
        <v>2.0633599999999999</v>
      </c>
      <c r="E46" s="10">
        <f t="shared" si="8"/>
        <v>1.0331999999999999</v>
      </c>
      <c r="F46" s="10">
        <v>4.7</v>
      </c>
      <c r="G46" s="10"/>
      <c r="H46" s="12" t="s">
        <v>17</v>
      </c>
    </row>
    <row r="47" spans="2:8" x14ac:dyDescent="0.2">
      <c r="B47" s="9">
        <v>45</v>
      </c>
      <c r="C47" s="10" t="s">
        <v>22</v>
      </c>
      <c r="D47" s="11">
        <f t="shared" si="12"/>
        <v>2.0633599999999999</v>
      </c>
      <c r="E47" s="10">
        <f t="shared" si="8"/>
        <v>1.0331999999999999</v>
      </c>
      <c r="F47" s="10">
        <v>4.7</v>
      </c>
      <c r="G47" s="10"/>
      <c r="H47" s="12" t="s">
        <v>17</v>
      </c>
    </row>
    <row r="48" spans="2:8" x14ac:dyDescent="0.2">
      <c r="B48" s="9">
        <v>46</v>
      </c>
      <c r="C48" s="10" t="s">
        <v>22</v>
      </c>
      <c r="D48" s="11">
        <f t="shared" si="12"/>
        <v>2.0633599999999999</v>
      </c>
      <c r="E48" s="10">
        <f t="shared" si="8"/>
        <v>1.0331999999999999</v>
      </c>
      <c r="F48" s="10">
        <v>4.7</v>
      </c>
      <c r="G48" s="10"/>
      <c r="H48" s="12" t="s">
        <v>17</v>
      </c>
    </row>
    <row r="49" spans="2:8" x14ac:dyDescent="0.2">
      <c r="B49" s="9">
        <v>47</v>
      </c>
      <c r="C49" s="10" t="s">
        <v>22</v>
      </c>
      <c r="D49" s="11">
        <f t="shared" si="12"/>
        <v>2.0633599999999999</v>
      </c>
      <c r="E49" s="10">
        <f t="shared" si="8"/>
        <v>1.0331999999999999</v>
      </c>
      <c r="F49" s="10">
        <v>4.7</v>
      </c>
      <c r="G49" s="10"/>
      <c r="H49" s="12" t="s">
        <v>17</v>
      </c>
    </row>
    <row r="50" spans="2:8" x14ac:dyDescent="0.2">
      <c r="B50" s="9">
        <v>48</v>
      </c>
      <c r="C50" s="10" t="s">
        <v>23</v>
      </c>
      <c r="D50" s="11">
        <f t="shared" si="12"/>
        <v>2.0633599999999999</v>
      </c>
      <c r="E50" s="10">
        <f t="shared" si="8"/>
        <v>1.0331999999999999</v>
      </c>
      <c r="F50" s="10">
        <v>4.7</v>
      </c>
      <c r="G50" s="10"/>
      <c r="H50" s="12" t="s">
        <v>17</v>
      </c>
    </row>
    <row r="51" spans="2:8" x14ac:dyDescent="0.2">
      <c r="B51" s="9">
        <v>49</v>
      </c>
      <c r="C51" s="10" t="s">
        <v>24</v>
      </c>
      <c r="D51" s="11">
        <f>(124*98*201)/1000000</f>
        <v>2.4425520000000001</v>
      </c>
      <c r="E51" s="10">
        <f>1.24*0.98</f>
        <v>1.2152000000000001</v>
      </c>
      <c r="F51" s="10">
        <v>6.2</v>
      </c>
      <c r="G51" s="10"/>
      <c r="H51" s="12" t="s">
        <v>25</v>
      </c>
    </row>
    <row r="52" spans="2:8" x14ac:dyDescent="0.2">
      <c r="B52" s="9">
        <v>50</v>
      </c>
      <c r="C52" s="10" t="s">
        <v>24</v>
      </c>
      <c r="D52" s="11">
        <f t="shared" ref="D52:D56" si="13">(124*98*201)/1000000</f>
        <v>2.4425520000000001</v>
      </c>
      <c r="E52" s="10">
        <f t="shared" ref="E52:E56" si="14">1.24*0.98</f>
        <v>1.2152000000000001</v>
      </c>
      <c r="F52" s="10">
        <v>6.2</v>
      </c>
      <c r="G52" s="10"/>
      <c r="H52" s="12" t="s">
        <v>25</v>
      </c>
    </row>
    <row r="53" spans="2:8" x14ac:dyDescent="0.2">
      <c r="B53" s="9">
        <v>51</v>
      </c>
      <c r="C53" s="10" t="s">
        <v>24</v>
      </c>
      <c r="D53" s="11">
        <f t="shared" si="13"/>
        <v>2.4425520000000001</v>
      </c>
      <c r="E53" s="10">
        <f t="shared" si="14"/>
        <v>1.2152000000000001</v>
      </c>
      <c r="F53" s="10">
        <v>6.2</v>
      </c>
      <c r="G53" s="10"/>
      <c r="H53" s="12" t="s">
        <v>25</v>
      </c>
    </row>
    <row r="54" spans="2:8" x14ac:dyDescent="0.2">
      <c r="B54" s="9">
        <v>52</v>
      </c>
      <c r="C54" s="10" t="s">
        <v>24</v>
      </c>
      <c r="D54" s="11">
        <f t="shared" si="13"/>
        <v>2.4425520000000001</v>
      </c>
      <c r="E54" s="10">
        <f t="shared" si="14"/>
        <v>1.2152000000000001</v>
      </c>
      <c r="F54" s="10">
        <v>6.2</v>
      </c>
      <c r="G54" s="10"/>
      <c r="H54" s="12" t="s">
        <v>25</v>
      </c>
    </row>
    <row r="55" spans="2:8" x14ac:dyDescent="0.2">
      <c r="B55" s="9">
        <v>53</v>
      </c>
      <c r="C55" s="10" t="s">
        <v>24</v>
      </c>
      <c r="D55" s="11">
        <f t="shared" si="13"/>
        <v>2.4425520000000001</v>
      </c>
      <c r="E55" s="10">
        <f t="shared" si="14"/>
        <v>1.2152000000000001</v>
      </c>
      <c r="F55" s="10">
        <v>6.2</v>
      </c>
      <c r="G55" s="10"/>
      <c r="H55" s="12" t="s">
        <v>25</v>
      </c>
    </row>
    <row r="56" spans="2:8" x14ac:dyDescent="0.2">
      <c r="B56" s="9">
        <v>54</v>
      </c>
      <c r="C56" s="10" t="s">
        <v>24</v>
      </c>
      <c r="D56" s="11">
        <f t="shared" si="13"/>
        <v>2.4425520000000001</v>
      </c>
      <c r="E56" s="10">
        <f t="shared" si="14"/>
        <v>1.2152000000000001</v>
      </c>
      <c r="F56" s="10">
        <v>6.2</v>
      </c>
      <c r="G56" s="10"/>
      <c r="H56" s="12" t="s">
        <v>25</v>
      </c>
    </row>
    <row r="57" spans="2:8" ht="28.9" customHeight="1" x14ac:dyDescent="0.2">
      <c r="B57" s="9">
        <v>55</v>
      </c>
      <c r="C57" s="13" t="s">
        <v>26</v>
      </c>
      <c r="D57" s="11">
        <f>$D$50+D9</f>
        <v>2.613982</v>
      </c>
      <c r="E57" s="11">
        <f>$E$50+E9</f>
        <v>1.5477999999999998</v>
      </c>
      <c r="F57" s="11">
        <f>3.3+4.7</f>
        <v>8</v>
      </c>
      <c r="G57" s="11"/>
      <c r="H57" s="14" t="s">
        <v>27</v>
      </c>
    </row>
    <row r="58" spans="2:8" ht="25.5" x14ac:dyDescent="0.2">
      <c r="B58" s="9">
        <v>56</v>
      </c>
      <c r="C58" s="13" t="s">
        <v>26</v>
      </c>
      <c r="D58" s="11">
        <f t="shared" ref="D58:D70" si="15">$D$50+D10</f>
        <v>2.613982</v>
      </c>
      <c r="E58" s="11">
        <f t="shared" ref="E58:E70" si="16">$E$50+E10</f>
        <v>1.5477999999999998</v>
      </c>
      <c r="F58" s="11">
        <f t="shared" ref="F58:F70" si="17">3.3+4.7</f>
        <v>8</v>
      </c>
      <c r="G58" s="11"/>
      <c r="H58" s="14" t="s">
        <v>28</v>
      </c>
    </row>
    <row r="59" spans="2:8" ht="25.5" x14ac:dyDescent="0.2">
      <c r="B59" s="9">
        <v>57</v>
      </c>
      <c r="C59" s="13" t="s">
        <v>29</v>
      </c>
      <c r="D59" s="11">
        <f t="shared" si="15"/>
        <v>2.7735079999999996</v>
      </c>
      <c r="E59" s="11">
        <f t="shared" si="16"/>
        <v>1.5477999999999998</v>
      </c>
      <c r="F59" s="11">
        <f t="shared" si="17"/>
        <v>8</v>
      </c>
      <c r="G59" s="11"/>
      <c r="H59" s="14" t="s">
        <v>30</v>
      </c>
    </row>
    <row r="60" spans="2:8" ht="27.6" customHeight="1" x14ac:dyDescent="0.2">
      <c r="B60" s="9">
        <v>58</v>
      </c>
      <c r="C60" s="13" t="s">
        <v>29</v>
      </c>
      <c r="D60" s="11">
        <f t="shared" si="15"/>
        <v>2.7735079999999996</v>
      </c>
      <c r="E60" s="11">
        <f t="shared" si="16"/>
        <v>1.5477999999999998</v>
      </c>
      <c r="F60" s="11">
        <f t="shared" si="17"/>
        <v>8</v>
      </c>
      <c r="G60" s="11"/>
      <c r="H60" s="14" t="s">
        <v>31</v>
      </c>
    </row>
    <row r="61" spans="2:8" ht="27" customHeight="1" x14ac:dyDescent="0.2">
      <c r="B61" s="9">
        <v>59</v>
      </c>
      <c r="C61" s="13" t="s">
        <v>29</v>
      </c>
      <c r="D61" s="11">
        <f t="shared" si="15"/>
        <v>2.7735079999999996</v>
      </c>
      <c r="E61" s="11">
        <f t="shared" si="16"/>
        <v>1.5477999999999998</v>
      </c>
      <c r="F61" s="11">
        <f t="shared" si="17"/>
        <v>8</v>
      </c>
      <c r="G61" s="11"/>
      <c r="H61" s="14" t="s">
        <v>32</v>
      </c>
    </row>
    <row r="62" spans="2:8" ht="25.5" x14ac:dyDescent="0.2">
      <c r="B62" s="9">
        <v>60</v>
      </c>
      <c r="C62" s="13" t="s">
        <v>29</v>
      </c>
      <c r="D62" s="11">
        <f t="shared" si="15"/>
        <v>2.7735079999999996</v>
      </c>
      <c r="E62" s="11">
        <f t="shared" si="16"/>
        <v>1.5477999999999998</v>
      </c>
      <c r="F62" s="11">
        <f t="shared" si="17"/>
        <v>8</v>
      </c>
      <c r="G62" s="11"/>
      <c r="H62" s="14" t="s">
        <v>33</v>
      </c>
    </row>
    <row r="63" spans="2:8" ht="25.5" x14ac:dyDescent="0.2">
      <c r="B63" s="9">
        <v>61</v>
      </c>
      <c r="C63" s="13" t="s">
        <v>34</v>
      </c>
      <c r="D63" s="11">
        <f t="shared" si="15"/>
        <v>2.9022199999999998</v>
      </c>
      <c r="E63" s="11">
        <f t="shared" si="16"/>
        <v>1.5477999999999998</v>
      </c>
      <c r="F63" s="11">
        <f t="shared" si="17"/>
        <v>8</v>
      </c>
      <c r="G63" s="11"/>
      <c r="H63" s="14" t="s">
        <v>35</v>
      </c>
    </row>
    <row r="64" spans="2:8" ht="25.5" x14ac:dyDescent="0.2">
      <c r="B64" s="9">
        <v>62</v>
      </c>
      <c r="C64" s="13" t="s">
        <v>34</v>
      </c>
      <c r="D64" s="11">
        <f t="shared" si="15"/>
        <v>2.9022199999999998</v>
      </c>
      <c r="E64" s="11">
        <f t="shared" si="16"/>
        <v>1.5477999999999998</v>
      </c>
      <c r="F64" s="11">
        <f t="shared" si="17"/>
        <v>8</v>
      </c>
      <c r="G64" s="11"/>
      <c r="H64" s="14" t="s">
        <v>36</v>
      </c>
    </row>
    <row r="65" spans="2:8" ht="25.5" x14ac:dyDescent="0.2">
      <c r="B65" s="9">
        <v>63</v>
      </c>
      <c r="C65" s="13" t="s">
        <v>34</v>
      </c>
      <c r="D65" s="11">
        <f t="shared" si="15"/>
        <v>2.9022199999999998</v>
      </c>
      <c r="E65" s="11">
        <f t="shared" si="16"/>
        <v>1.5477999999999998</v>
      </c>
      <c r="F65" s="11">
        <f t="shared" si="17"/>
        <v>8</v>
      </c>
      <c r="G65" s="11"/>
      <c r="H65" s="14" t="s">
        <v>37</v>
      </c>
    </row>
    <row r="66" spans="2:8" ht="25.5" x14ac:dyDescent="0.2">
      <c r="B66" s="9">
        <v>64</v>
      </c>
      <c r="C66" s="13" t="s">
        <v>34</v>
      </c>
      <c r="D66" s="11">
        <f t="shared" si="15"/>
        <v>2.9022199999999998</v>
      </c>
      <c r="E66" s="11">
        <f t="shared" si="16"/>
        <v>1.5477999999999998</v>
      </c>
      <c r="F66" s="11">
        <f t="shared" si="17"/>
        <v>8</v>
      </c>
      <c r="G66" s="11"/>
      <c r="H66" s="14" t="s">
        <v>38</v>
      </c>
    </row>
    <row r="67" spans="2:8" ht="25.5" x14ac:dyDescent="0.2">
      <c r="B67" s="9">
        <v>65</v>
      </c>
      <c r="C67" s="13" t="s">
        <v>39</v>
      </c>
      <c r="D67" s="11">
        <f t="shared" si="15"/>
        <v>2.9577599999999999</v>
      </c>
      <c r="E67" s="11">
        <f t="shared" si="16"/>
        <v>1.5477999999999998</v>
      </c>
      <c r="F67" s="11">
        <f t="shared" si="17"/>
        <v>8</v>
      </c>
      <c r="G67" s="11"/>
      <c r="H67" s="14" t="s">
        <v>40</v>
      </c>
    </row>
    <row r="68" spans="2:8" ht="25.5" x14ac:dyDescent="0.2">
      <c r="B68" s="9">
        <v>66</v>
      </c>
      <c r="C68" s="13" t="s">
        <v>39</v>
      </c>
      <c r="D68" s="11">
        <f t="shared" si="15"/>
        <v>2.9577599999999999</v>
      </c>
      <c r="E68" s="11">
        <f t="shared" si="16"/>
        <v>1.5477999999999998</v>
      </c>
      <c r="F68" s="11">
        <f t="shared" si="17"/>
        <v>8</v>
      </c>
      <c r="G68" s="11"/>
      <c r="H68" s="14" t="s">
        <v>41</v>
      </c>
    </row>
    <row r="69" spans="2:8" ht="25.5" x14ac:dyDescent="0.2">
      <c r="B69" s="9">
        <v>67</v>
      </c>
      <c r="C69" s="13" t="s">
        <v>39</v>
      </c>
      <c r="D69" s="11">
        <f t="shared" si="15"/>
        <v>2.9577599999999999</v>
      </c>
      <c r="E69" s="11">
        <f t="shared" si="16"/>
        <v>1.5477999999999998</v>
      </c>
      <c r="F69" s="11">
        <f t="shared" si="17"/>
        <v>8</v>
      </c>
      <c r="G69" s="11"/>
      <c r="H69" s="14" t="s">
        <v>42</v>
      </c>
    </row>
    <row r="70" spans="2:8" ht="25.5" x14ac:dyDescent="0.2">
      <c r="B70" s="9">
        <v>68</v>
      </c>
      <c r="C70" s="13" t="s">
        <v>39</v>
      </c>
      <c r="D70" s="11">
        <f t="shared" si="15"/>
        <v>2.9577599999999999</v>
      </c>
      <c r="E70" s="11">
        <f t="shared" si="16"/>
        <v>1.5477999999999998</v>
      </c>
      <c r="F70" s="11">
        <f t="shared" si="17"/>
        <v>8</v>
      </c>
      <c r="G70" s="11"/>
      <c r="H70" s="14" t="s">
        <v>43</v>
      </c>
    </row>
    <row r="71" spans="2:8" ht="25.5" x14ac:dyDescent="0.2">
      <c r="B71" s="9">
        <v>69</v>
      </c>
      <c r="C71" s="13" t="s">
        <v>44</v>
      </c>
      <c r="D71" s="11">
        <f>$D$56+D15</f>
        <v>3.281412</v>
      </c>
      <c r="E71" s="11">
        <f>$E$56+E13</f>
        <v>1.7298</v>
      </c>
      <c r="F71" s="11">
        <f>3.3+6.2</f>
        <v>9.5</v>
      </c>
      <c r="G71" s="11"/>
      <c r="H71" s="14" t="s">
        <v>45</v>
      </c>
    </row>
    <row r="72" spans="2:8" ht="25.5" x14ac:dyDescent="0.2">
      <c r="B72" s="9">
        <v>70</v>
      </c>
      <c r="C72" s="13" t="s">
        <v>44</v>
      </c>
      <c r="D72" s="11">
        <f t="shared" ref="D72:D78" si="18">$D$56+D16</f>
        <v>3.281412</v>
      </c>
      <c r="E72" s="11">
        <f t="shared" ref="E72:E78" si="19">$E$56+E4</f>
        <v>1.7298</v>
      </c>
      <c r="F72" s="11">
        <f t="shared" ref="F72:F78" si="20">3.3+6.2</f>
        <v>9.5</v>
      </c>
      <c r="G72" s="11"/>
      <c r="H72" s="14" t="s">
        <v>46</v>
      </c>
    </row>
    <row r="73" spans="2:8" ht="25.5" x14ac:dyDescent="0.2">
      <c r="B73" s="9">
        <v>71</v>
      </c>
      <c r="C73" s="13" t="s">
        <v>44</v>
      </c>
      <c r="D73" s="11">
        <f t="shared" si="18"/>
        <v>3.281412</v>
      </c>
      <c r="E73" s="11">
        <f t="shared" si="19"/>
        <v>1.7298</v>
      </c>
      <c r="F73" s="11">
        <f t="shared" si="20"/>
        <v>9.5</v>
      </c>
      <c r="G73" s="11"/>
      <c r="H73" s="14" t="s">
        <v>47</v>
      </c>
    </row>
    <row r="74" spans="2:8" ht="25.5" x14ac:dyDescent="0.2">
      <c r="B74" s="9">
        <v>72</v>
      </c>
      <c r="C74" s="13" t="s">
        <v>44</v>
      </c>
      <c r="D74" s="11">
        <f t="shared" si="18"/>
        <v>3.281412</v>
      </c>
      <c r="E74" s="11">
        <f t="shared" si="19"/>
        <v>1.7298</v>
      </c>
      <c r="F74" s="11">
        <f t="shared" si="20"/>
        <v>9.5</v>
      </c>
      <c r="G74" s="11"/>
      <c r="H74" s="14" t="s">
        <v>48</v>
      </c>
    </row>
    <row r="75" spans="2:8" ht="25.5" x14ac:dyDescent="0.2">
      <c r="B75" s="9">
        <v>73</v>
      </c>
      <c r="C75" s="13" t="s">
        <v>49</v>
      </c>
      <c r="D75" s="11">
        <f t="shared" si="18"/>
        <v>3.3369520000000001</v>
      </c>
      <c r="E75" s="11">
        <f t="shared" si="19"/>
        <v>1.7298</v>
      </c>
      <c r="F75" s="11">
        <f t="shared" si="20"/>
        <v>9.5</v>
      </c>
      <c r="G75" s="11"/>
      <c r="H75" s="14" t="s">
        <v>50</v>
      </c>
    </row>
    <row r="76" spans="2:8" ht="25.5" x14ac:dyDescent="0.2">
      <c r="B76" s="9">
        <v>74</v>
      </c>
      <c r="C76" s="13" t="s">
        <v>49</v>
      </c>
      <c r="D76" s="11">
        <f t="shared" si="18"/>
        <v>3.3369520000000001</v>
      </c>
      <c r="E76" s="11">
        <f t="shared" si="19"/>
        <v>1.7298</v>
      </c>
      <c r="F76" s="11">
        <f t="shared" si="20"/>
        <v>9.5</v>
      </c>
      <c r="G76" s="11"/>
      <c r="H76" s="14" t="s">
        <v>51</v>
      </c>
    </row>
    <row r="77" spans="2:8" ht="25.5" x14ac:dyDescent="0.2">
      <c r="B77" s="9">
        <v>75</v>
      </c>
      <c r="C77" s="13" t="s">
        <v>49</v>
      </c>
      <c r="D77" s="11">
        <f t="shared" si="18"/>
        <v>3.3369520000000001</v>
      </c>
      <c r="E77" s="11">
        <f t="shared" si="19"/>
        <v>1.7298</v>
      </c>
      <c r="F77" s="11">
        <f t="shared" si="20"/>
        <v>9.5</v>
      </c>
      <c r="G77" s="11"/>
      <c r="H77" s="14" t="s">
        <v>52</v>
      </c>
    </row>
    <row r="78" spans="2:8" ht="25.5" x14ac:dyDescent="0.2">
      <c r="B78" s="9">
        <v>76</v>
      </c>
      <c r="C78" s="13" t="s">
        <v>49</v>
      </c>
      <c r="D78" s="11">
        <f t="shared" si="18"/>
        <v>3.3369520000000001</v>
      </c>
      <c r="E78" s="11">
        <f t="shared" si="19"/>
        <v>1.7298</v>
      </c>
      <c r="F78" s="11">
        <f t="shared" si="20"/>
        <v>9.5</v>
      </c>
      <c r="G78" s="11"/>
      <c r="H78" s="14" t="s">
        <v>53</v>
      </c>
    </row>
    <row r="79" spans="2:8" ht="25.5" x14ac:dyDescent="0.2">
      <c r="B79" s="9">
        <v>77</v>
      </c>
      <c r="C79" s="13" t="s">
        <v>54</v>
      </c>
      <c r="D79" s="11">
        <f>$D$50+D31</f>
        <v>3.53504</v>
      </c>
      <c r="E79" s="11">
        <f>$E$50+E31</f>
        <v>2.0663999999999998</v>
      </c>
      <c r="F79" s="11">
        <f>4.7+4.7</f>
        <v>9.4</v>
      </c>
      <c r="G79" s="11"/>
      <c r="H79" s="14" t="s">
        <v>55</v>
      </c>
    </row>
    <row r="80" spans="2:8" ht="25.5" x14ac:dyDescent="0.2">
      <c r="B80" s="9">
        <v>78</v>
      </c>
      <c r="C80" s="13" t="s">
        <v>54</v>
      </c>
      <c r="D80" s="11">
        <f t="shared" ref="D80:D98" si="21">$D$50+D32</f>
        <v>3.53504</v>
      </c>
      <c r="E80" s="11">
        <f t="shared" ref="E80:E98" si="22">$E$50+E32</f>
        <v>2.0663999999999998</v>
      </c>
      <c r="F80" s="11">
        <f t="shared" ref="F80:F98" si="23">4.7+4.7</f>
        <v>9.4</v>
      </c>
      <c r="G80" s="11"/>
      <c r="H80" s="14" t="s">
        <v>56</v>
      </c>
    </row>
    <row r="81" spans="2:8" ht="25.5" x14ac:dyDescent="0.2">
      <c r="B81" s="9">
        <v>79</v>
      </c>
      <c r="C81" s="13" t="s">
        <v>57</v>
      </c>
      <c r="D81" s="11">
        <f t="shared" si="21"/>
        <v>3.6967999999999996</v>
      </c>
      <c r="E81" s="11">
        <f t="shared" si="22"/>
        <v>2.0663999999999998</v>
      </c>
      <c r="F81" s="11">
        <f t="shared" si="23"/>
        <v>9.4</v>
      </c>
      <c r="G81" s="11"/>
      <c r="H81" s="14" t="s">
        <v>58</v>
      </c>
    </row>
    <row r="82" spans="2:8" ht="25.5" x14ac:dyDescent="0.2">
      <c r="B82" s="9">
        <v>80</v>
      </c>
      <c r="C82" s="13" t="s">
        <v>57</v>
      </c>
      <c r="D82" s="11">
        <f t="shared" si="21"/>
        <v>3.6967999999999996</v>
      </c>
      <c r="E82" s="11">
        <f t="shared" si="22"/>
        <v>2.0663999999999998</v>
      </c>
      <c r="F82" s="11">
        <f t="shared" si="23"/>
        <v>9.4</v>
      </c>
      <c r="G82" s="11"/>
      <c r="H82" s="14" t="s">
        <v>59</v>
      </c>
    </row>
    <row r="83" spans="2:8" ht="25.5" x14ac:dyDescent="0.2">
      <c r="B83" s="9">
        <v>81</v>
      </c>
      <c r="C83" s="13" t="s">
        <v>57</v>
      </c>
      <c r="D83" s="11">
        <f t="shared" si="21"/>
        <v>3.6967999999999996</v>
      </c>
      <c r="E83" s="11">
        <f t="shared" si="22"/>
        <v>2.0663999999999998</v>
      </c>
      <c r="F83" s="11">
        <f t="shared" si="23"/>
        <v>9.4</v>
      </c>
      <c r="G83" s="11"/>
      <c r="H83" s="14" t="s">
        <v>60</v>
      </c>
    </row>
    <row r="84" spans="2:8" ht="25.5" x14ac:dyDescent="0.2">
      <c r="B84" s="9">
        <v>82</v>
      </c>
      <c r="C84" s="13" t="s">
        <v>57</v>
      </c>
      <c r="D84" s="11">
        <f t="shared" si="21"/>
        <v>3.6967999999999996</v>
      </c>
      <c r="E84" s="11">
        <f t="shared" si="22"/>
        <v>2.0663999999999998</v>
      </c>
      <c r="F84" s="11">
        <f t="shared" si="23"/>
        <v>9.4</v>
      </c>
      <c r="G84" s="11"/>
      <c r="H84" s="14" t="s">
        <v>61</v>
      </c>
    </row>
    <row r="85" spans="2:8" ht="25.5" x14ac:dyDescent="0.2">
      <c r="B85" s="9">
        <v>83</v>
      </c>
      <c r="C85" s="13" t="s">
        <v>57</v>
      </c>
      <c r="D85" s="11">
        <f t="shared" si="21"/>
        <v>3.6967999999999996</v>
      </c>
      <c r="E85" s="11">
        <f t="shared" si="22"/>
        <v>2.0663999999999998</v>
      </c>
      <c r="F85" s="11">
        <f t="shared" si="23"/>
        <v>9.4</v>
      </c>
      <c r="G85" s="11"/>
      <c r="H85" s="14" t="s">
        <v>62</v>
      </c>
    </row>
    <row r="86" spans="2:8" ht="25.5" x14ac:dyDescent="0.2">
      <c r="B86" s="9">
        <v>84</v>
      </c>
      <c r="C86" s="13" t="s">
        <v>57</v>
      </c>
      <c r="D86" s="11">
        <f t="shared" si="21"/>
        <v>3.6967999999999996</v>
      </c>
      <c r="E86" s="11">
        <f t="shared" si="22"/>
        <v>2.0663999999999998</v>
      </c>
      <c r="F86" s="11">
        <f t="shared" si="23"/>
        <v>9.4</v>
      </c>
      <c r="G86" s="11"/>
      <c r="H86" s="14" t="s">
        <v>63</v>
      </c>
    </row>
    <row r="87" spans="2:8" ht="25.5" x14ac:dyDescent="0.2">
      <c r="B87" s="9">
        <v>85</v>
      </c>
      <c r="C87" s="13" t="s">
        <v>64</v>
      </c>
      <c r="D87" s="11">
        <f t="shared" si="21"/>
        <v>4.17136</v>
      </c>
      <c r="E87" s="11">
        <f t="shared" si="22"/>
        <v>2.0663999999999998</v>
      </c>
      <c r="F87" s="11">
        <f t="shared" si="23"/>
        <v>9.4</v>
      </c>
      <c r="G87" s="11"/>
      <c r="H87" s="14" t="s">
        <v>65</v>
      </c>
    </row>
    <row r="88" spans="2:8" ht="25.5" x14ac:dyDescent="0.2">
      <c r="B88" s="9">
        <v>86</v>
      </c>
      <c r="C88" s="13" t="s">
        <v>64</v>
      </c>
      <c r="D88" s="11">
        <f t="shared" si="21"/>
        <v>4.17136</v>
      </c>
      <c r="E88" s="11">
        <f t="shared" si="22"/>
        <v>2.0663999999999998</v>
      </c>
      <c r="F88" s="11">
        <f t="shared" si="23"/>
        <v>9.4</v>
      </c>
      <c r="G88" s="11"/>
      <c r="H88" s="14" t="s">
        <v>66</v>
      </c>
    </row>
    <row r="89" spans="2:8" ht="25.5" x14ac:dyDescent="0.2">
      <c r="B89" s="9">
        <v>87</v>
      </c>
      <c r="C89" s="13" t="s">
        <v>64</v>
      </c>
      <c r="D89" s="11">
        <f t="shared" si="21"/>
        <v>4.17136</v>
      </c>
      <c r="E89" s="11">
        <f t="shared" si="22"/>
        <v>2.0663999999999998</v>
      </c>
      <c r="F89" s="11">
        <f t="shared" si="23"/>
        <v>9.4</v>
      </c>
      <c r="G89" s="11"/>
      <c r="H89" s="14" t="s">
        <v>67</v>
      </c>
    </row>
    <row r="90" spans="2:8" ht="25.5" x14ac:dyDescent="0.2">
      <c r="B90" s="9">
        <v>88</v>
      </c>
      <c r="C90" s="13" t="s">
        <v>64</v>
      </c>
      <c r="D90" s="11">
        <f t="shared" si="21"/>
        <v>4.17136</v>
      </c>
      <c r="E90" s="11">
        <f t="shared" si="22"/>
        <v>2.0663999999999998</v>
      </c>
      <c r="F90" s="11">
        <f t="shared" si="23"/>
        <v>9.4</v>
      </c>
      <c r="G90" s="11"/>
      <c r="H90" s="14" t="s">
        <v>68</v>
      </c>
    </row>
    <row r="91" spans="2:8" ht="25.5" x14ac:dyDescent="0.2">
      <c r="B91" s="9">
        <v>89</v>
      </c>
      <c r="C91" s="13" t="s">
        <v>64</v>
      </c>
      <c r="D91" s="11">
        <f t="shared" si="21"/>
        <v>4.17136</v>
      </c>
      <c r="E91" s="11">
        <f t="shared" si="22"/>
        <v>2.0663999999999998</v>
      </c>
      <c r="F91" s="11">
        <f t="shared" si="23"/>
        <v>9.4</v>
      </c>
      <c r="G91" s="11"/>
      <c r="H91" s="14" t="s">
        <v>69</v>
      </c>
    </row>
    <row r="92" spans="2:8" ht="25.5" x14ac:dyDescent="0.2">
      <c r="B92" s="9">
        <v>90</v>
      </c>
      <c r="C92" s="13" t="s">
        <v>64</v>
      </c>
      <c r="D92" s="11">
        <f t="shared" si="21"/>
        <v>4.17136</v>
      </c>
      <c r="E92" s="11">
        <f t="shared" si="22"/>
        <v>2.0663999999999998</v>
      </c>
      <c r="F92" s="11">
        <f t="shared" si="23"/>
        <v>9.4</v>
      </c>
      <c r="G92" s="11"/>
      <c r="H92" s="14" t="s">
        <v>70</v>
      </c>
    </row>
    <row r="93" spans="2:8" ht="25.5" x14ac:dyDescent="0.2">
      <c r="B93" s="9">
        <v>91</v>
      </c>
      <c r="C93" s="13" t="s">
        <v>71</v>
      </c>
      <c r="D93" s="11">
        <f t="shared" si="21"/>
        <v>4.1267199999999997</v>
      </c>
      <c r="E93" s="11">
        <f t="shared" si="22"/>
        <v>2.0663999999999998</v>
      </c>
      <c r="F93" s="11">
        <f t="shared" si="23"/>
        <v>9.4</v>
      </c>
      <c r="G93" s="11"/>
      <c r="H93" s="14" t="s">
        <v>72</v>
      </c>
    </row>
    <row r="94" spans="2:8" ht="25.5" x14ac:dyDescent="0.2">
      <c r="B94" s="9">
        <v>92</v>
      </c>
      <c r="C94" s="13" t="s">
        <v>71</v>
      </c>
      <c r="D94" s="11">
        <f t="shared" si="21"/>
        <v>4.1267199999999997</v>
      </c>
      <c r="E94" s="11">
        <f t="shared" si="22"/>
        <v>2.0663999999999998</v>
      </c>
      <c r="F94" s="11">
        <f t="shared" si="23"/>
        <v>9.4</v>
      </c>
      <c r="G94" s="11"/>
      <c r="H94" s="14" t="s">
        <v>73</v>
      </c>
    </row>
    <row r="95" spans="2:8" ht="25.5" x14ac:dyDescent="0.2">
      <c r="B95" s="9">
        <v>93</v>
      </c>
      <c r="C95" s="13" t="s">
        <v>71</v>
      </c>
      <c r="D95" s="11">
        <f t="shared" si="21"/>
        <v>4.1267199999999997</v>
      </c>
      <c r="E95" s="11">
        <f t="shared" si="22"/>
        <v>2.0663999999999998</v>
      </c>
      <c r="F95" s="11">
        <f t="shared" si="23"/>
        <v>9.4</v>
      </c>
      <c r="G95" s="11"/>
      <c r="H95" s="14" t="s">
        <v>74</v>
      </c>
    </row>
    <row r="96" spans="2:8" ht="25.5" x14ac:dyDescent="0.2">
      <c r="B96" s="9">
        <v>94</v>
      </c>
      <c r="C96" s="13" t="s">
        <v>71</v>
      </c>
      <c r="D96" s="11">
        <f t="shared" si="21"/>
        <v>4.1267199999999997</v>
      </c>
      <c r="E96" s="11">
        <f t="shared" si="22"/>
        <v>2.0663999999999998</v>
      </c>
      <c r="F96" s="11">
        <f t="shared" si="23"/>
        <v>9.4</v>
      </c>
      <c r="G96" s="11"/>
      <c r="H96" s="14" t="s">
        <v>75</v>
      </c>
    </row>
    <row r="97" spans="2:8" ht="25.5" x14ac:dyDescent="0.2">
      <c r="B97" s="9">
        <v>95</v>
      </c>
      <c r="C97" s="13" t="s">
        <v>71</v>
      </c>
      <c r="D97" s="11">
        <f t="shared" si="21"/>
        <v>4.1267199999999997</v>
      </c>
      <c r="E97" s="11">
        <f t="shared" si="22"/>
        <v>2.0663999999999998</v>
      </c>
      <c r="F97" s="11">
        <f t="shared" si="23"/>
        <v>9.4</v>
      </c>
      <c r="G97" s="11"/>
      <c r="H97" s="14" t="s">
        <v>76</v>
      </c>
    </row>
    <row r="98" spans="2:8" ht="25.5" x14ac:dyDescent="0.2">
      <c r="B98" s="9">
        <v>96</v>
      </c>
      <c r="C98" s="13" t="s">
        <v>71</v>
      </c>
      <c r="D98" s="11">
        <f t="shared" si="21"/>
        <v>4.1267199999999997</v>
      </c>
      <c r="E98" s="11">
        <f t="shared" si="22"/>
        <v>2.0663999999999998</v>
      </c>
      <c r="F98" s="11">
        <f t="shared" si="23"/>
        <v>9.4</v>
      </c>
      <c r="G98" s="11"/>
      <c r="H98" s="14" t="s">
        <v>77</v>
      </c>
    </row>
    <row r="99" spans="2:8" ht="25.5" x14ac:dyDescent="0.2">
      <c r="B99" s="9">
        <v>97</v>
      </c>
      <c r="C99" s="13" t="s">
        <v>78</v>
      </c>
      <c r="D99" s="11">
        <f>$D$56+D45</f>
        <v>4.5059120000000004</v>
      </c>
      <c r="E99" s="11">
        <f>$E$56+E45</f>
        <v>2.2484000000000002</v>
      </c>
      <c r="F99" s="11">
        <f>4.7+6.2</f>
        <v>10.9</v>
      </c>
      <c r="G99" s="11"/>
      <c r="H99" s="14" t="s">
        <v>79</v>
      </c>
    </row>
    <row r="100" spans="2:8" ht="25.5" x14ac:dyDescent="0.2">
      <c r="B100" s="9">
        <v>98</v>
      </c>
      <c r="C100" s="13" t="s">
        <v>78</v>
      </c>
      <c r="D100" s="11">
        <f t="shared" ref="D100:D104" si="24">$D$56+D46</f>
        <v>4.5059120000000004</v>
      </c>
      <c r="E100" s="11">
        <f t="shared" ref="E100:E104" si="25">$E$56+E46</f>
        <v>2.2484000000000002</v>
      </c>
      <c r="F100" s="11">
        <f t="shared" ref="F100:F104" si="26">4.7+6.2</f>
        <v>10.9</v>
      </c>
      <c r="G100" s="11"/>
      <c r="H100" s="14" t="s">
        <v>80</v>
      </c>
    </row>
    <row r="101" spans="2:8" ht="25.5" x14ac:dyDescent="0.2">
      <c r="B101" s="9">
        <v>99</v>
      </c>
      <c r="C101" s="13" t="s">
        <v>78</v>
      </c>
      <c r="D101" s="11">
        <f t="shared" si="24"/>
        <v>4.5059120000000004</v>
      </c>
      <c r="E101" s="11">
        <f t="shared" si="25"/>
        <v>2.2484000000000002</v>
      </c>
      <c r="F101" s="11">
        <f t="shared" si="26"/>
        <v>10.9</v>
      </c>
      <c r="G101" s="11"/>
      <c r="H101" s="14" t="s">
        <v>81</v>
      </c>
    </row>
    <row r="102" spans="2:8" ht="25.5" x14ac:dyDescent="0.2">
      <c r="B102" s="9">
        <v>100</v>
      </c>
      <c r="C102" s="13" t="s">
        <v>78</v>
      </c>
      <c r="D102" s="11">
        <f t="shared" si="24"/>
        <v>4.5059120000000004</v>
      </c>
      <c r="E102" s="11">
        <f t="shared" si="25"/>
        <v>2.2484000000000002</v>
      </c>
      <c r="F102" s="11">
        <f t="shared" si="26"/>
        <v>10.9</v>
      </c>
      <c r="G102" s="11"/>
      <c r="H102" s="14" t="s">
        <v>82</v>
      </c>
    </row>
    <row r="103" spans="2:8" ht="25.5" x14ac:dyDescent="0.2">
      <c r="B103" s="9">
        <v>101</v>
      </c>
      <c r="C103" s="13" t="s">
        <v>78</v>
      </c>
      <c r="D103" s="11">
        <f t="shared" si="24"/>
        <v>4.5059120000000004</v>
      </c>
      <c r="E103" s="11">
        <f t="shared" si="25"/>
        <v>2.2484000000000002</v>
      </c>
      <c r="F103" s="11">
        <f t="shared" si="26"/>
        <v>10.9</v>
      </c>
      <c r="G103" s="11"/>
      <c r="H103" s="14" t="s">
        <v>83</v>
      </c>
    </row>
    <row r="104" spans="2:8" ht="25.5" x14ac:dyDescent="0.2">
      <c r="B104" s="9">
        <v>102</v>
      </c>
      <c r="C104" s="13" t="s">
        <v>78</v>
      </c>
      <c r="D104" s="11">
        <f t="shared" si="24"/>
        <v>4.5059120000000004</v>
      </c>
      <c r="E104" s="11">
        <f t="shared" si="25"/>
        <v>2.2484000000000002</v>
      </c>
      <c r="F104" s="11">
        <f t="shared" si="26"/>
        <v>10.9</v>
      </c>
      <c r="G104" s="11"/>
      <c r="H104" s="14" t="s">
        <v>84</v>
      </c>
    </row>
    <row r="105" spans="2:8" ht="25.5" x14ac:dyDescent="0.2">
      <c r="B105" s="9">
        <v>103</v>
      </c>
      <c r="C105" s="13" t="s">
        <v>85</v>
      </c>
      <c r="D105" s="11">
        <f>$D$56+D51</f>
        <v>4.8851040000000001</v>
      </c>
      <c r="E105" s="11">
        <f>$E$56+E51</f>
        <v>2.4304000000000001</v>
      </c>
      <c r="F105" s="11">
        <f>6.2+6.2</f>
        <v>12.4</v>
      </c>
      <c r="G105" s="11"/>
      <c r="H105" s="14" t="s">
        <v>86</v>
      </c>
    </row>
    <row r="106" spans="2:8" ht="25.5" x14ac:dyDescent="0.2">
      <c r="B106" s="9">
        <v>104</v>
      </c>
      <c r="C106" s="13" t="s">
        <v>85</v>
      </c>
      <c r="D106" s="11">
        <f t="shared" ref="D106:D110" si="27">$D$56+D52</f>
        <v>4.8851040000000001</v>
      </c>
      <c r="E106" s="11">
        <f t="shared" ref="E106:E110" si="28">$E$56+E52</f>
        <v>2.4304000000000001</v>
      </c>
      <c r="F106" s="11">
        <f t="shared" ref="F106:F110" si="29">6.2+6.2</f>
        <v>12.4</v>
      </c>
      <c r="G106" s="11"/>
      <c r="H106" s="14" t="s">
        <v>86</v>
      </c>
    </row>
    <row r="107" spans="2:8" ht="25.5" x14ac:dyDescent="0.2">
      <c r="B107" s="9">
        <v>105</v>
      </c>
      <c r="C107" s="13" t="s">
        <v>85</v>
      </c>
      <c r="D107" s="11">
        <f t="shared" si="27"/>
        <v>4.8851040000000001</v>
      </c>
      <c r="E107" s="11">
        <f t="shared" si="28"/>
        <v>2.4304000000000001</v>
      </c>
      <c r="F107" s="11">
        <f t="shared" si="29"/>
        <v>12.4</v>
      </c>
      <c r="G107" s="11"/>
      <c r="H107" s="14" t="s">
        <v>86</v>
      </c>
    </row>
    <row r="108" spans="2:8" ht="25.5" x14ac:dyDescent="0.2">
      <c r="B108" s="9">
        <v>106</v>
      </c>
      <c r="C108" s="13" t="s">
        <v>85</v>
      </c>
      <c r="D108" s="11">
        <f t="shared" si="27"/>
        <v>4.8851040000000001</v>
      </c>
      <c r="E108" s="11">
        <f t="shared" si="28"/>
        <v>2.4304000000000001</v>
      </c>
      <c r="F108" s="11">
        <f t="shared" si="29"/>
        <v>12.4</v>
      </c>
      <c r="G108" s="11"/>
      <c r="H108" s="14" t="s">
        <v>86</v>
      </c>
    </row>
    <row r="109" spans="2:8" ht="25.5" x14ac:dyDescent="0.2">
      <c r="B109" s="9">
        <v>107</v>
      </c>
      <c r="C109" s="13" t="s">
        <v>85</v>
      </c>
      <c r="D109" s="11">
        <f t="shared" si="27"/>
        <v>4.8851040000000001</v>
      </c>
      <c r="E109" s="11">
        <f t="shared" si="28"/>
        <v>2.4304000000000001</v>
      </c>
      <c r="F109" s="11">
        <f t="shared" si="29"/>
        <v>12.4</v>
      </c>
      <c r="G109" s="11"/>
      <c r="H109" s="14" t="s">
        <v>86</v>
      </c>
    </row>
    <row r="110" spans="2:8" ht="25.5" x14ac:dyDescent="0.2">
      <c r="B110" s="9">
        <v>108</v>
      </c>
      <c r="C110" s="13" t="s">
        <v>85</v>
      </c>
      <c r="D110" s="11">
        <f t="shared" si="27"/>
        <v>4.8851040000000001</v>
      </c>
      <c r="E110" s="11">
        <f t="shared" si="28"/>
        <v>2.4304000000000001</v>
      </c>
      <c r="F110" s="11">
        <f t="shared" si="29"/>
        <v>12.4</v>
      </c>
      <c r="G110" s="11"/>
      <c r="H110" s="14" t="s">
        <v>86</v>
      </c>
    </row>
    <row r="111" spans="2:8" ht="38.25" x14ac:dyDescent="0.2">
      <c r="B111" s="9">
        <v>109</v>
      </c>
      <c r="C111" s="13" t="s">
        <v>87</v>
      </c>
      <c r="D111" s="11">
        <f>$D$50+$D$56+D9</f>
        <v>5.0565340000000001</v>
      </c>
      <c r="E111" s="11">
        <f>$E$50+$E$56+E9</f>
        <v>2.7629999999999999</v>
      </c>
      <c r="F111" s="11">
        <f>3.3+4.7+6.2</f>
        <v>14.2</v>
      </c>
      <c r="G111" s="11"/>
      <c r="H111" s="14" t="s">
        <v>88</v>
      </c>
    </row>
    <row r="112" spans="2:8" ht="38.25" x14ac:dyDescent="0.2">
      <c r="B112" s="9">
        <v>110</v>
      </c>
      <c r="C112" s="13" t="s">
        <v>87</v>
      </c>
      <c r="D112" s="11">
        <f t="shared" ref="D112:D124" si="30">$D$50+$D$56+D10</f>
        <v>5.0565340000000001</v>
      </c>
      <c r="E112" s="11">
        <f t="shared" ref="E112:E124" si="31">$E$50+$E$56+E10</f>
        <v>2.7629999999999999</v>
      </c>
      <c r="F112" s="11">
        <f t="shared" ref="F112:F124" si="32">3.3+4.7+6.2</f>
        <v>14.2</v>
      </c>
      <c r="G112" s="11"/>
      <c r="H112" s="14" t="s">
        <v>89</v>
      </c>
    </row>
    <row r="113" spans="2:8" ht="38.25" x14ac:dyDescent="0.2">
      <c r="B113" s="9">
        <v>111</v>
      </c>
      <c r="C113" s="13" t="s">
        <v>90</v>
      </c>
      <c r="D113" s="11">
        <f t="shared" si="30"/>
        <v>5.2160600000000006</v>
      </c>
      <c r="E113" s="11">
        <f t="shared" si="31"/>
        <v>2.7629999999999999</v>
      </c>
      <c r="F113" s="11">
        <f t="shared" si="32"/>
        <v>14.2</v>
      </c>
      <c r="G113" s="11"/>
      <c r="H113" s="14" t="s">
        <v>91</v>
      </c>
    </row>
    <row r="114" spans="2:8" ht="38.25" x14ac:dyDescent="0.2">
      <c r="B114" s="9">
        <v>112</v>
      </c>
      <c r="C114" s="13" t="s">
        <v>90</v>
      </c>
      <c r="D114" s="11">
        <f t="shared" si="30"/>
        <v>5.2160600000000006</v>
      </c>
      <c r="E114" s="11">
        <f t="shared" si="31"/>
        <v>2.7629999999999999</v>
      </c>
      <c r="F114" s="11">
        <f t="shared" si="32"/>
        <v>14.2</v>
      </c>
      <c r="G114" s="11"/>
      <c r="H114" s="14" t="s">
        <v>92</v>
      </c>
    </row>
    <row r="115" spans="2:8" ht="38.25" x14ac:dyDescent="0.2">
      <c r="B115" s="9">
        <v>113</v>
      </c>
      <c r="C115" s="13" t="s">
        <v>90</v>
      </c>
      <c r="D115" s="11">
        <f t="shared" si="30"/>
        <v>5.2160600000000006</v>
      </c>
      <c r="E115" s="11">
        <f t="shared" si="31"/>
        <v>2.7629999999999999</v>
      </c>
      <c r="F115" s="11">
        <f t="shared" si="32"/>
        <v>14.2</v>
      </c>
      <c r="G115" s="11"/>
      <c r="H115" s="14" t="s">
        <v>93</v>
      </c>
    </row>
    <row r="116" spans="2:8" ht="38.25" x14ac:dyDescent="0.2">
      <c r="B116" s="9">
        <v>114</v>
      </c>
      <c r="C116" s="13" t="s">
        <v>90</v>
      </c>
      <c r="D116" s="11">
        <f t="shared" si="30"/>
        <v>5.2160600000000006</v>
      </c>
      <c r="E116" s="11">
        <f t="shared" si="31"/>
        <v>2.7629999999999999</v>
      </c>
      <c r="F116" s="11">
        <f t="shared" si="32"/>
        <v>14.2</v>
      </c>
      <c r="G116" s="11"/>
      <c r="H116" s="14" t="s">
        <v>94</v>
      </c>
    </row>
    <row r="117" spans="2:8" ht="38.25" x14ac:dyDescent="0.2">
      <c r="B117" s="9">
        <v>115</v>
      </c>
      <c r="C117" s="13" t="s">
        <v>95</v>
      </c>
      <c r="D117" s="11">
        <f t="shared" si="30"/>
        <v>5.3447720000000007</v>
      </c>
      <c r="E117" s="11">
        <f t="shared" si="31"/>
        <v>2.7629999999999999</v>
      </c>
      <c r="F117" s="11">
        <f t="shared" si="32"/>
        <v>14.2</v>
      </c>
      <c r="G117" s="11"/>
      <c r="H117" s="14" t="s">
        <v>96</v>
      </c>
    </row>
    <row r="118" spans="2:8" ht="38.25" x14ac:dyDescent="0.2">
      <c r="B118" s="9">
        <v>116</v>
      </c>
      <c r="C118" s="13" t="s">
        <v>95</v>
      </c>
      <c r="D118" s="11">
        <f t="shared" si="30"/>
        <v>5.3447720000000007</v>
      </c>
      <c r="E118" s="11">
        <f t="shared" si="31"/>
        <v>2.7629999999999999</v>
      </c>
      <c r="F118" s="11">
        <f t="shared" si="32"/>
        <v>14.2</v>
      </c>
      <c r="G118" s="11"/>
      <c r="H118" s="14" t="s">
        <v>97</v>
      </c>
    </row>
    <row r="119" spans="2:8" ht="38.25" x14ac:dyDescent="0.2">
      <c r="B119" s="9">
        <v>117</v>
      </c>
      <c r="C119" s="13" t="s">
        <v>95</v>
      </c>
      <c r="D119" s="11">
        <f t="shared" si="30"/>
        <v>5.3447720000000007</v>
      </c>
      <c r="E119" s="11">
        <f t="shared" si="31"/>
        <v>2.7629999999999999</v>
      </c>
      <c r="F119" s="11">
        <f t="shared" si="32"/>
        <v>14.2</v>
      </c>
      <c r="G119" s="11"/>
      <c r="H119" s="14" t="s">
        <v>98</v>
      </c>
    </row>
    <row r="120" spans="2:8" ht="38.25" x14ac:dyDescent="0.2">
      <c r="B120" s="9">
        <v>118</v>
      </c>
      <c r="C120" s="13" t="s">
        <v>95</v>
      </c>
      <c r="D120" s="11">
        <f t="shared" si="30"/>
        <v>5.3447720000000007</v>
      </c>
      <c r="E120" s="11">
        <f t="shared" si="31"/>
        <v>2.7629999999999999</v>
      </c>
      <c r="F120" s="11">
        <f t="shared" si="32"/>
        <v>14.2</v>
      </c>
      <c r="G120" s="11"/>
      <c r="H120" s="14" t="s">
        <v>99</v>
      </c>
    </row>
    <row r="121" spans="2:8" ht="38.25" x14ac:dyDescent="0.2">
      <c r="B121" s="9">
        <v>119</v>
      </c>
      <c r="C121" s="13" t="s">
        <v>100</v>
      </c>
      <c r="D121" s="11">
        <f t="shared" si="30"/>
        <v>5.4003120000000004</v>
      </c>
      <c r="E121" s="11">
        <f t="shared" si="31"/>
        <v>2.7629999999999999</v>
      </c>
      <c r="F121" s="11">
        <f t="shared" si="32"/>
        <v>14.2</v>
      </c>
      <c r="G121" s="11"/>
      <c r="H121" s="14" t="s">
        <v>101</v>
      </c>
    </row>
    <row r="122" spans="2:8" ht="38.25" x14ac:dyDescent="0.2">
      <c r="B122" s="9">
        <v>120</v>
      </c>
      <c r="C122" s="13" t="s">
        <v>100</v>
      </c>
      <c r="D122" s="11">
        <f t="shared" si="30"/>
        <v>5.4003120000000004</v>
      </c>
      <c r="E122" s="11">
        <f t="shared" si="31"/>
        <v>2.7629999999999999</v>
      </c>
      <c r="F122" s="11">
        <f t="shared" si="32"/>
        <v>14.2</v>
      </c>
      <c r="G122" s="11"/>
      <c r="H122" s="14" t="s">
        <v>102</v>
      </c>
    </row>
    <row r="123" spans="2:8" ht="38.25" x14ac:dyDescent="0.2">
      <c r="B123" s="9">
        <v>121</v>
      </c>
      <c r="C123" s="13" t="s">
        <v>100</v>
      </c>
      <c r="D123" s="11">
        <f t="shared" si="30"/>
        <v>5.4003120000000004</v>
      </c>
      <c r="E123" s="11">
        <f t="shared" si="31"/>
        <v>2.7629999999999999</v>
      </c>
      <c r="F123" s="11">
        <f t="shared" si="32"/>
        <v>14.2</v>
      </c>
      <c r="G123" s="11"/>
      <c r="H123" s="14" t="s">
        <v>103</v>
      </c>
    </row>
    <row r="124" spans="2:8" ht="38.25" x14ac:dyDescent="0.2">
      <c r="B124" s="9">
        <v>122</v>
      </c>
      <c r="C124" s="13" t="s">
        <v>100</v>
      </c>
      <c r="D124" s="11">
        <f t="shared" si="30"/>
        <v>5.4003120000000004</v>
      </c>
      <c r="E124" s="11">
        <f t="shared" si="31"/>
        <v>2.7629999999999999</v>
      </c>
      <c r="F124" s="11">
        <f t="shared" si="32"/>
        <v>14.2</v>
      </c>
      <c r="G124" s="11"/>
      <c r="H124" s="14" t="s">
        <v>104</v>
      </c>
    </row>
    <row r="125" spans="2:8" ht="38.25" x14ac:dyDescent="0.2">
      <c r="B125" s="9">
        <v>123</v>
      </c>
      <c r="C125" s="13" t="s">
        <v>105</v>
      </c>
      <c r="D125" s="11">
        <f>$D$56+$D$56+D23</f>
        <v>6.1766040000000002</v>
      </c>
      <c r="E125" s="11">
        <f>$E$56+$E$56+E23</f>
        <v>3.4636</v>
      </c>
      <c r="F125" s="11">
        <f>3.3+6.2+6.2</f>
        <v>15.7</v>
      </c>
      <c r="G125" s="11"/>
      <c r="H125" s="14" t="s">
        <v>106</v>
      </c>
    </row>
    <row r="126" spans="2:8" ht="38.25" x14ac:dyDescent="0.2">
      <c r="B126" s="9">
        <v>124</v>
      </c>
      <c r="C126" s="13" t="s">
        <v>105</v>
      </c>
      <c r="D126" s="11">
        <f t="shared" ref="D126:D130" si="33">$D$56+$D$56+D24</f>
        <v>6.1766040000000002</v>
      </c>
      <c r="E126" s="11">
        <f t="shared" ref="E126:E130" si="34">$E$56+$E$56+E24</f>
        <v>3.4636</v>
      </c>
      <c r="F126" s="11">
        <f t="shared" ref="F126:F130" si="35">3.3+6.2+6.2</f>
        <v>15.7</v>
      </c>
      <c r="G126" s="11"/>
      <c r="H126" s="14" t="s">
        <v>107</v>
      </c>
    </row>
    <row r="127" spans="2:8" ht="38.25" x14ac:dyDescent="0.2">
      <c r="B127" s="9">
        <v>125</v>
      </c>
      <c r="C127" s="13" t="s">
        <v>108</v>
      </c>
      <c r="D127" s="11">
        <f t="shared" si="33"/>
        <v>6.1766040000000002</v>
      </c>
      <c r="E127" s="11">
        <f t="shared" si="34"/>
        <v>3.4636</v>
      </c>
      <c r="F127" s="11">
        <f t="shared" si="35"/>
        <v>15.7</v>
      </c>
      <c r="G127" s="11"/>
      <c r="H127" s="14" t="s">
        <v>109</v>
      </c>
    </row>
    <row r="128" spans="2:8" ht="38.25" x14ac:dyDescent="0.2">
      <c r="B128" s="9">
        <v>126</v>
      </c>
      <c r="C128" s="13" t="s">
        <v>108</v>
      </c>
      <c r="D128" s="11">
        <f t="shared" si="33"/>
        <v>6.1766040000000002</v>
      </c>
      <c r="E128" s="11">
        <f t="shared" si="34"/>
        <v>3.4636</v>
      </c>
      <c r="F128" s="11">
        <f t="shared" si="35"/>
        <v>15.7</v>
      </c>
      <c r="G128" s="11"/>
      <c r="H128" s="14" t="s">
        <v>110</v>
      </c>
    </row>
    <row r="129" spans="2:8" ht="38.25" x14ac:dyDescent="0.2">
      <c r="B129" s="9">
        <v>127</v>
      </c>
      <c r="C129" s="13" t="s">
        <v>108</v>
      </c>
      <c r="D129" s="11">
        <f t="shared" si="33"/>
        <v>6.3567840000000002</v>
      </c>
      <c r="E129" s="11">
        <f t="shared" si="34"/>
        <v>3.4636</v>
      </c>
      <c r="F129" s="11">
        <f t="shared" si="35"/>
        <v>15.7</v>
      </c>
      <c r="G129" s="11"/>
      <c r="H129" s="14" t="s">
        <v>111</v>
      </c>
    </row>
    <row r="130" spans="2:8" ht="38.25" x14ac:dyDescent="0.2">
      <c r="B130" s="9">
        <v>128</v>
      </c>
      <c r="C130" s="13" t="s">
        <v>108</v>
      </c>
      <c r="D130" s="11">
        <f t="shared" si="33"/>
        <v>6.3567840000000002</v>
      </c>
      <c r="E130" s="11">
        <f t="shared" si="34"/>
        <v>3.4636</v>
      </c>
      <c r="F130" s="11">
        <f t="shared" si="35"/>
        <v>15.7</v>
      </c>
      <c r="G130" s="11"/>
      <c r="H130" s="14" t="s">
        <v>112</v>
      </c>
    </row>
    <row r="131" spans="2:8" ht="38.25" x14ac:dyDescent="0.2">
      <c r="B131" s="9">
        <v>129</v>
      </c>
      <c r="C131" s="13" t="s">
        <v>113</v>
      </c>
      <c r="D131" s="11">
        <f>$D$56+$D$50+D29</f>
        <v>5.9775920000000005</v>
      </c>
      <c r="E131" s="11">
        <f>$E$56+$E$50+E29</f>
        <v>3.2816000000000001</v>
      </c>
      <c r="F131" s="11">
        <f>4.7+4.7+6.2</f>
        <v>15.600000000000001</v>
      </c>
      <c r="G131" s="11"/>
      <c r="H131" s="14" t="s">
        <v>114</v>
      </c>
    </row>
    <row r="132" spans="2:8" ht="38.25" x14ac:dyDescent="0.2">
      <c r="B132" s="9">
        <v>130</v>
      </c>
      <c r="C132" s="13" t="s">
        <v>113</v>
      </c>
      <c r="D132" s="11">
        <f t="shared" ref="D132:D152" si="36">$D$56+$D$50+D30</f>
        <v>5.9775920000000005</v>
      </c>
      <c r="E132" s="11">
        <f t="shared" ref="E132:E152" si="37">$E$56+$E$50+E30</f>
        <v>3.2816000000000001</v>
      </c>
      <c r="F132" s="11">
        <f t="shared" ref="F132:F152" si="38">4.7+4.7+6.2</f>
        <v>15.600000000000001</v>
      </c>
      <c r="G132" s="11"/>
      <c r="H132" s="14" t="s">
        <v>115</v>
      </c>
    </row>
    <row r="133" spans="2:8" ht="38.25" x14ac:dyDescent="0.2">
      <c r="B133" s="9">
        <v>131</v>
      </c>
      <c r="C133" s="13" t="s">
        <v>113</v>
      </c>
      <c r="D133" s="11">
        <f t="shared" si="36"/>
        <v>5.9775920000000005</v>
      </c>
      <c r="E133" s="11">
        <f t="shared" si="37"/>
        <v>3.2816000000000001</v>
      </c>
      <c r="F133" s="11">
        <f t="shared" si="38"/>
        <v>15.600000000000001</v>
      </c>
      <c r="G133" s="11"/>
      <c r="H133" s="14" t="s">
        <v>116</v>
      </c>
    </row>
    <row r="134" spans="2:8" ht="38.25" x14ac:dyDescent="0.2">
      <c r="B134" s="9">
        <v>132</v>
      </c>
      <c r="C134" s="13" t="s">
        <v>113</v>
      </c>
      <c r="D134" s="11">
        <f t="shared" si="36"/>
        <v>5.9775920000000005</v>
      </c>
      <c r="E134" s="11">
        <f t="shared" si="37"/>
        <v>3.2816000000000001</v>
      </c>
      <c r="F134" s="11">
        <f t="shared" si="38"/>
        <v>15.600000000000001</v>
      </c>
      <c r="G134" s="11"/>
      <c r="H134" s="14" t="s">
        <v>117</v>
      </c>
    </row>
    <row r="135" spans="2:8" ht="38.25" x14ac:dyDescent="0.2">
      <c r="B135" s="9">
        <v>133</v>
      </c>
      <c r="C135" s="13" t="s">
        <v>118</v>
      </c>
      <c r="D135" s="11">
        <f t="shared" si="36"/>
        <v>6.1393520000000006</v>
      </c>
      <c r="E135" s="11">
        <f t="shared" si="37"/>
        <v>3.2816000000000001</v>
      </c>
      <c r="F135" s="11">
        <f t="shared" si="38"/>
        <v>15.600000000000001</v>
      </c>
      <c r="G135" s="11"/>
      <c r="H135" s="14" t="s">
        <v>119</v>
      </c>
    </row>
    <row r="136" spans="2:8" ht="38.25" x14ac:dyDescent="0.2">
      <c r="B136" s="9">
        <v>134</v>
      </c>
      <c r="C136" s="13" t="s">
        <v>118</v>
      </c>
      <c r="D136" s="11">
        <f t="shared" si="36"/>
        <v>6.1393520000000006</v>
      </c>
      <c r="E136" s="11">
        <f t="shared" si="37"/>
        <v>3.2816000000000001</v>
      </c>
      <c r="F136" s="11">
        <f t="shared" si="38"/>
        <v>15.600000000000001</v>
      </c>
      <c r="G136" s="11"/>
      <c r="H136" s="14" t="s">
        <v>120</v>
      </c>
    </row>
    <row r="137" spans="2:8" ht="38.25" x14ac:dyDescent="0.2">
      <c r="B137" s="9">
        <v>135</v>
      </c>
      <c r="C137" s="13" t="s">
        <v>118</v>
      </c>
      <c r="D137" s="11">
        <f t="shared" si="36"/>
        <v>6.1393520000000006</v>
      </c>
      <c r="E137" s="11">
        <f t="shared" si="37"/>
        <v>3.2816000000000001</v>
      </c>
      <c r="F137" s="11">
        <f t="shared" si="38"/>
        <v>15.600000000000001</v>
      </c>
      <c r="G137" s="11"/>
      <c r="H137" s="14" t="s">
        <v>121</v>
      </c>
    </row>
    <row r="138" spans="2:8" ht="38.25" x14ac:dyDescent="0.2">
      <c r="B138" s="9">
        <v>136</v>
      </c>
      <c r="C138" s="13" t="s">
        <v>118</v>
      </c>
      <c r="D138" s="11">
        <f t="shared" si="36"/>
        <v>6.1393520000000006</v>
      </c>
      <c r="E138" s="11">
        <f t="shared" si="37"/>
        <v>3.2816000000000001</v>
      </c>
      <c r="F138" s="11">
        <f t="shared" si="38"/>
        <v>15.600000000000001</v>
      </c>
      <c r="G138" s="11"/>
      <c r="H138" s="14" t="s">
        <v>122</v>
      </c>
    </row>
    <row r="139" spans="2:8" ht="38.25" x14ac:dyDescent="0.2">
      <c r="B139" s="9">
        <v>137</v>
      </c>
      <c r="C139" s="13" t="s">
        <v>118</v>
      </c>
      <c r="D139" s="11">
        <f t="shared" si="36"/>
        <v>6.1393520000000006</v>
      </c>
      <c r="E139" s="11">
        <f t="shared" si="37"/>
        <v>3.2816000000000001</v>
      </c>
      <c r="F139" s="11">
        <f t="shared" si="38"/>
        <v>15.600000000000001</v>
      </c>
      <c r="G139" s="11"/>
      <c r="H139" s="14" t="s">
        <v>123</v>
      </c>
    </row>
    <row r="140" spans="2:8" ht="38.25" x14ac:dyDescent="0.2">
      <c r="B140" s="9">
        <v>138</v>
      </c>
      <c r="C140" s="13" t="s">
        <v>118</v>
      </c>
      <c r="D140" s="11">
        <f t="shared" si="36"/>
        <v>6.1393520000000006</v>
      </c>
      <c r="E140" s="11">
        <f t="shared" si="37"/>
        <v>3.2816000000000001</v>
      </c>
      <c r="F140" s="11">
        <f t="shared" si="38"/>
        <v>15.600000000000001</v>
      </c>
      <c r="G140" s="11"/>
      <c r="H140" s="14" t="s">
        <v>124</v>
      </c>
    </row>
    <row r="141" spans="2:8" ht="38.25" x14ac:dyDescent="0.2">
      <c r="B141" s="9">
        <v>139</v>
      </c>
      <c r="C141" s="13" t="s">
        <v>125</v>
      </c>
      <c r="D141" s="11">
        <f t="shared" si="36"/>
        <v>6.6139120000000009</v>
      </c>
      <c r="E141" s="11">
        <f t="shared" si="37"/>
        <v>3.2816000000000001</v>
      </c>
      <c r="F141" s="11">
        <f t="shared" si="38"/>
        <v>15.600000000000001</v>
      </c>
      <c r="G141" s="11"/>
      <c r="H141" s="14" t="s">
        <v>126</v>
      </c>
    </row>
    <row r="142" spans="2:8" ht="38.25" x14ac:dyDescent="0.2">
      <c r="B142" s="9">
        <v>140</v>
      </c>
      <c r="C142" s="13" t="s">
        <v>125</v>
      </c>
      <c r="D142" s="11">
        <f t="shared" si="36"/>
        <v>6.6139120000000009</v>
      </c>
      <c r="E142" s="11">
        <f t="shared" si="37"/>
        <v>3.2816000000000001</v>
      </c>
      <c r="F142" s="11">
        <f t="shared" si="38"/>
        <v>15.600000000000001</v>
      </c>
      <c r="G142" s="11"/>
      <c r="H142" s="14" t="s">
        <v>127</v>
      </c>
    </row>
    <row r="143" spans="2:8" ht="38.25" x14ac:dyDescent="0.2">
      <c r="B143" s="9">
        <v>141</v>
      </c>
      <c r="C143" s="13" t="s">
        <v>125</v>
      </c>
      <c r="D143" s="11">
        <f t="shared" si="36"/>
        <v>6.6139120000000009</v>
      </c>
      <c r="E143" s="11">
        <f t="shared" si="37"/>
        <v>3.2816000000000001</v>
      </c>
      <c r="F143" s="11">
        <f t="shared" si="38"/>
        <v>15.600000000000001</v>
      </c>
      <c r="G143" s="11"/>
      <c r="H143" s="14" t="s">
        <v>128</v>
      </c>
    </row>
    <row r="144" spans="2:8" ht="38.25" x14ac:dyDescent="0.2">
      <c r="B144" s="9">
        <v>142</v>
      </c>
      <c r="C144" s="13" t="s">
        <v>125</v>
      </c>
      <c r="D144" s="11">
        <f t="shared" si="36"/>
        <v>6.6139120000000009</v>
      </c>
      <c r="E144" s="11">
        <f t="shared" si="37"/>
        <v>3.2816000000000001</v>
      </c>
      <c r="F144" s="11">
        <f t="shared" si="38"/>
        <v>15.600000000000001</v>
      </c>
      <c r="G144" s="11"/>
      <c r="H144" s="14" t="s">
        <v>129</v>
      </c>
    </row>
    <row r="145" spans="2:8" ht="38.25" x14ac:dyDescent="0.2">
      <c r="B145" s="9">
        <v>143</v>
      </c>
      <c r="C145" s="13" t="s">
        <v>125</v>
      </c>
      <c r="D145" s="11">
        <f t="shared" si="36"/>
        <v>6.6139120000000009</v>
      </c>
      <c r="E145" s="11">
        <f t="shared" si="37"/>
        <v>3.2816000000000001</v>
      </c>
      <c r="F145" s="11">
        <f t="shared" si="38"/>
        <v>15.600000000000001</v>
      </c>
      <c r="G145" s="11"/>
      <c r="H145" s="14" t="s">
        <v>130</v>
      </c>
    </row>
    <row r="146" spans="2:8" ht="38.25" x14ac:dyDescent="0.2">
      <c r="B146" s="9">
        <v>144</v>
      </c>
      <c r="C146" s="13" t="s">
        <v>125</v>
      </c>
      <c r="D146" s="11">
        <f t="shared" si="36"/>
        <v>6.6139120000000009</v>
      </c>
      <c r="E146" s="11">
        <f t="shared" si="37"/>
        <v>3.2816000000000001</v>
      </c>
      <c r="F146" s="11">
        <f t="shared" si="38"/>
        <v>15.600000000000001</v>
      </c>
      <c r="G146" s="11"/>
      <c r="H146" s="14" t="s">
        <v>131</v>
      </c>
    </row>
    <row r="147" spans="2:8" ht="38.25" x14ac:dyDescent="0.2">
      <c r="B147" s="9">
        <v>145</v>
      </c>
      <c r="C147" s="13" t="s">
        <v>132</v>
      </c>
      <c r="D147" s="11">
        <f t="shared" si="36"/>
        <v>6.5692719999999998</v>
      </c>
      <c r="E147" s="11">
        <f t="shared" si="37"/>
        <v>3.2816000000000001</v>
      </c>
      <c r="F147" s="11">
        <f t="shared" si="38"/>
        <v>15.600000000000001</v>
      </c>
      <c r="G147" s="11"/>
      <c r="H147" s="14" t="s">
        <v>133</v>
      </c>
    </row>
    <row r="148" spans="2:8" ht="38.25" x14ac:dyDescent="0.2">
      <c r="B148" s="9">
        <v>146</v>
      </c>
      <c r="C148" s="13" t="s">
        <v>132</v>
      </c>
      <c r="D148" s="11">
        <f t="shared" si="36"/>
        <v>6.5692719999999998</v>
      </c>
      <c r="E148" s="11">
        <f t="shared" si="37"/>
        <v>3.2816000000000001</v>
      </c>
      <c r="F148" s="11">
        <f t="shared" si="38"/>
        <v>15.600000000000001</v>
      </c>
      <c r="G148" s="11"/>
      <c r="H148" s="14" t="s">
        <v>134</v>
      </c>
    </row>
    <row r="149" spans="2:8" ht="38.25" x14ac:dyDescent="0.2">
      <c r="B149" s="9">
        <v>147</v>
      </c>
      <c r="C149" s="13" t="s">
        <v>132</v>
      </c>
      <c r="D149" s="11">
        <f t="shared" si="36"/>
        <v>6.5692719999999998</v>
      </c>
      <c r="E149" s="11">
        <f t="shared" si="37"/>
        <v>3.2816000000000001</v>
      </c>
      <c r="F149" s="11">
        <f t="shared" si="38"/>
        <v>15.600000000000001</v>
      </c>
      <c r="G149" s="11"/>
      <c r="H149" s="14" t="s">
        <v>135</v>
      </c>
    </row>
    <row r="150" spans="2:8" ht="38.25" x14ac:dyDescent="0.2">
      <c r="B150" s="9">
        <v>148</v>
      </c>
      <c r="C150" s="13" t="s">
        <v>132</v>
      </c>
      <c r="D150" s="11">
        <f t="shared" si="36"/>
        <v>6.5692719999999998</v>
      </c>
      <c r="E150" s="11">
        <f t="shared" si="37"/>
        <v>3.2816000000000001</v>
      </c>
      <c r="F150" s="11">
        <f t="shared" si="38"/>
        <v>15.600000000000001</v>
      </c>
      <c r="G150" s="11"/>
      <c r="H150" s="14" t="s">
        <v>136</v>
      </c>
    </row>
    <row r="151" spans="2:8" ht="38.25" x14ac:dyDescent="0.2">
      <c r="B151" s="9">
        <v>149</v>
      </c>
      <c r="C151" s="13" t="s">
        <v>132</v>
      </c>
      <c r="D151" s="11">
        <f t="shared" si="36"/>
        <v>6.5692719999999998</v>
      </c>
      <c r="E151" s="11">
        <f t="shared" si="37"/>
        <v>3.2816000000000001</v>
      </c>
      <c r="F151" s="11">
        <f t="shared" si="38"/>
        <v>15.600000000000001</v>
      </c>
      <c r="G151" s="11"/>
      <c r="H151" s="14" t="s">
        <v>137</v>
      </c>
    </row>
    <row r="152" spans="2:8" ht="38.25" x14ac:dyDescent="0.2">
      <c r="B152" s="9">
        <v>150</v>
      </c>
      <c r="C152" s="13" t="s">
        <v>132</v>
      </c>
      <c r="D152" s="11">
        <f t="shared" si="36"/>
        <v>6.5692719999999998</v>
      </c>
      <c r="E152" s="11">
        <f t="shared" si="37"/>
        <v>3.2816000000000001</v>
      </c>
      <c r="F152" s="11">
        <f t="shared" si="38"/>
        <v>15.600000000000001</v>
      </c>
      <c r="G152" s="11"/>
      <c r="H152" s="14" t="s">
        <v>138</v>
      </c>
    </row>
    <row r="153" spans="2:8" ht="38.25" x14ac:dyDescent="0.2">
      <c r="B153" s="9">
        <v>151</v>
      </c>
      <c r="C153" s="13" t="s">
        <v>139</v>
      </c>
      <c r="D153" s="11">
        <f>$D$56+$D$56+D45</f>
        <v>6.9484639999999995</v>
      </c>
      <c r="E153" s="11">
        <f>$E$56+$E$56+E45</f>
        <v>3.4636</v>
      </c>
      <c r="F153" s="11">
        <f>4.7+6.2+6.2</f>
        <v>17.100000000000001</v>
      </c>
      <c r="G153" s="11"/>
      <c r="H153" s="14" t="s">
        <v>140</v>
      </c>
    </row>
    <row r="154" spans="2:8" ht="38.25" x14ac:dyDescent="0.2">
      <c r="B154" s="9">
        <v>152</v>
      </c>
      <c r="C154" s="13" t="s">
        <v>139</v>
      </c>
      <c r="D154" s="11">
        <f t="shared" ref="D154:D158" si="39">$D$56+$D$56+D46</f>
        <v>6.9484639999999995</v>
      </c>
      <c r="E154" s="11">
        <f t="shared" ref="E154:E158" si="40">$E$56+$E$56+E46</f>
        <v>3.4636</v>
      </c>
      <c r="F154" s="11">
        <f t="shared" ref="F154:F158" si="41">4.7+6.2+6.2</f>
        <v>17.100000000000001</v>
      </c>
      <c r="G154" s="11"/>
      <c r="H154" s="14" t="s">
        <v>141</v>
      </c>
    </row>
    <row r="155" spans="2:8" ht="38.25" x14ac:dyDescent="0.2">
      <c r="B155" s="9">
        <v>153</v>
      </c>
      <c r="C155" s="13" t="s">
        <v>139</v>
      </c>
      <c r="D155" s="11">
        <f t="shared" si="39"/>
        <v>6.9484639999999995</v>
      </c>
      <c r="E155" s="11">
        <f t="shared" si="40"/>
        <v>3.4636</v>
      </c>
      <c r="F155" s="11">
        <f t="shared" si="41"/>
        <v>17.100000000000001</v>
      </c>
      <c r="G155" s="11"/>
      <c r="H155" s="14" t="s">
        <v>142</v>
      </c>
    </row>
    <row r="156" spans="2:8" ht="38.25" x14ac:dyDescent="0.2">
      <c r="B156" s="9">
        <v>154</v>
      </c>
      <c r="C156" s="13" t="s">
        <v>139</v>
      </c>
      <c r="D156" s="11">
        <f t="shared" si="39"/>
        <v>6.9484639999999995</v>
      </c>
      <c r="E156" s="11">
        <f t="shared" si="40"/>
        <v>3.4636</v>
      </c>
      <c r="F156" s="11">
        <f t="shared" si="41"/>
        <v>17.100000000000001</v>
      </c>
      <c r="G156" s="11"/>
      <c r="H156" s="14" t="s">
        <v>143</v>
      </c>
    </row>
    <row r="157" spans="2:8" ht="38.25" x14ac:dyDescent="0.2">
      <c r="B157" s="9">
        <v>155</v>
      </c>
      <c r="C157" s="13" t="s">
        <v>139</v>
      </c>
      <c r="D157" s="11">
        <f t="shared" si="39"/>
        <v>6.9484639999999995</v>
      </c>
      <c r="E157" s="11">
        <f t="shared" si="40"/>
        <v>3.4636</v>
      </c>
      <c r="F157" s="11">
        <f t="shared" si="41"/>
        <v>17.100000000000001</v>
      </c>
      <c r="G157" s="11"/>
      <c r="H157" s="14" t="s">
        <v>144</v>
      </c>
    </row>
    <row r="158" spans="2:8" ht="38.25" x14ac:dyDescent="0.2">
      <c r="B158" s="9">
        <v>156</v>
      </c>
      <c r="C158" s="13" t="s">
        <v>139</v>
      </c>
      <c r="D158" s="11">
        <f t="shared" si="39"/>
        <v>6.9484639999999995</v>
      </c>
      <c r="E158" s="11">
        <f t="shared" si="40"/>
        <v>3.4636</v>
      </c>
      <c r="F158" s="11">
        <f t="shared" si="41"/>
        <v>17.100000000000001</v>
      </c>
      <c r="G158" s="11"/>
      <c r="H158" s="14" t="s">
        <v>145</v>
      </c>
    </row>
    <row r="159" spans="2:8" ht="38.25" x14ac:dyDescent="0.2">
      <c r="B159" s="9">
        <v>157</v>
      </c>
      <c r="C159" s="13" t="s">
        <v>146</v>
      </c>
      <c r="D159" s="11">
        <f>$D$56+$D$56+D51</f>
        <v>7.3276560000000002</v>
      </c>
      <c r="E159" s="11">
        <f>$E$56+$E$56+E51</f>
        <v>3.6456</v>
      </c>
      <c r="F159" s="11">
        <f>6.2+6.2+6.2</f>
        <v>18.600000000000001</v>
      </c>
      <c r="G159" s="11"/>
      <c r="H159" s="14" t="s">
        <v>147</v>
      </c>
    </row>
    <row r="160" spans="2:8" ht="38.25" x14ac:dyDescent="0.2">
      <c r="B160" s="9">
        <v>158</v>
      </c>
      <c r="C160" s="13" t="s">
        <v>146</v>
      </c>
      <c r="D160" s="11">
        <f t="shared" ref="D160:D164" si="42">$D$56+$D$56+D52</f>
        <v>7.3276560000000002</v>
      </c>
      <c r="E160" s="11">
        <f t="shared" ref="E160:E164" si="43">$E$56+$E$56+E52</f>
        <v>3.6456</v>
      </c>
      <c r="F160" s="11">
        <f t="shared" ref="F160:F164" si="44">6.2+6.2+6.2</f>
        <v>18.600000000000001</v>
      </c>
      <c r="G160" s="11"/>
      <c r="H160" s="14" t="s">
        <v>148</v>
      </c>
    </row>
    <row r="161" spans="2:8" ht="38.25" x14ac:dyDescent="0.2">
      <c r="B161" s="9">
        <v>159</v>
      </c>
      <c r="C161" s="13" t="s">
        <v>146</v>
      </c>
      <c r="D161" s="11">
        <f t="shared" si="42"/>
        <v>7.3276560000000002</v>
      </c>
      <c r="E161" s="11">
        <f t="shared" si="43"/>
        <v>3.6456</v>
      </c>
      <c r="F161" s="11">
        <f t="shared" si="44"/>
        <v>18.600000000000001</v>
      </c>
      <c r="G161" s="11"/>
      <c r="H161" s="14" t="s">
        <v>149</v>
      </c>
    </row>
    <row r="162" spans="2:8" ht="38.25" x14ac:dyDescent="0.2">
      <c r="B162" s="9">
        <v>160</v>
      </c>
      <c r="C162" s="13" t="s">
        <v>146</v>
      </c>
      <c r="D162" s="11">
        <f t="shared" si="42"/>
        <v>7.3276560000000002</v>
      </c>
      <c r="E162" s="11">
        <f t="shared" si="43"/>
        <v>3.6456</v>
      </c>
      <c r="F162" s="11">
        <f t="shared" si="44"/>
        <v>18.600000000000001</v>
      </c>
      <c r="G162" s="11"/>
      <c r="H162" s="14" t="s">
        <v>150</v>
      </c>
    </row>
    <row r="163" spans="2:8" ht="38.25" x14ac:dyDescent="0.2">
      <c r="B163" s="9">
        <v>161</v>
      </c>
      <c r="C163" s="13" t="s">
        <v>146</v>
      </c>
      <c r="D163" s="11">
        <f t="shared" si="42"/>
        <v>7.3276560000000002</v>
      </c>
      <c r="E163" s="11">
        <f t="shared" si="43"/>
        <v>3.6456</v>
      </c>
      <c r="F163" s="11">
        <f t="shared" si="44"/>
        <v>18.600000000000001</v>
      </c>
      <c r="G163" s="11"/>
      <c r="H163" s="14" t="s">
        <v>151</v>
      </c>
    </row>
    <row r="164" spans="2:8" ht="38.25" x14ac:dyDescent="0.2">
      <c r="B164" s="9">
        <v>162</v>
      </c>
      <c r="C164" s="13" t="s">
        <v>146</v>
      </c>
      <c r="D164" s="11">
        <f t="shared" si="42"/>
        <v>7.3276560000000002</v>
      </c>
      <c r="E164" s="11">
        <f t="shared" si="43"/>
        <v>3.6456</v>
      </c>
      <c r="F164" s="11">
        <f t="shared" si="44"/>
        <v>18.600000000000001</v>
      </c>
      <c r="G164" s="11"/>
      <c r="H164" s="14" t="s">
        <v>152</v>
      </c>
    </row>
    <row r="165" spans="2:8" ht="51" x14ac:dyDescent="0.2">
      <c r="B165" s="9">
        <v>163</v>
      </c>
      <c r="C165" s="13" t="s">
        <v>153</v>
      </c>
      <c r="D165" s="11">
        <f>$D$56+$D$56+$D$50+D9</f>
        <v>7.4990859999999993</v>
      </c>
      <c r="E165" s="11">
        <f>$E$56+$E$56+$E$50+E9</f>
        <v>3.9782000000000002</v>
      </c>
      <c r="F165" s="11">
        <f>3+4.7+6.2+6.2</f>
        <v>20.100000000000001</v>
      </c>
      <c r="G165" s="11"/>
      <c r="H165" s="14" t="s">
        <v>154</v>
      </c>
    </row>
    <row r="166" spans="2:8" ht="51" x14ac:dyDescent="0.2">
      <c r="B166" s="9">
        <v>164</v>
      </c>
      <c r="C166" s="13" t="s">
        <v>153</v>
      </c>
      <c r="D166" s="11">
        <f t="shared" ref="D166:D178" si="45">$D$56+$D$56+$D$50+D10</f>
        <v>7.4990859999999993</v>
      </c>
      <c r="E166" s="11">
        <f t="shared" ref="E166:E178" si="46">$E$56+$E$56+$E$50+E10</f>
        <v>3.9782000000000002</v>
      </c>
      <c r="F166" s="11">
        <f t="shared" ref="F166:F178" si="47">3+4.7+6.2+6.2</f>
        <v>20.100000000000001</v>
      </c>
      <c r="G166" s="11"/>
      <c r="H166" s="14" t="s">
        <v>155</v>
      </c>
    </row>
    <row r="167" spans="2:8" ht="51" x14ac:dyDescent="0.2">
      <c r="B167" s="9">
        <v>165</v>
      </c>
      <c r="C167" s="13" t="s">
        <v>156</v>
      </c>
      <c r="D167" s="11">
        <f t="shared" si="45"/>
        <v>7.6586119999999998</v>
      </c>
      <c r="E167" s="11">
        <f t="shared" si="46"/>
        <v>3.9782000000000002</v>
      </c>
      <c r="F167" s="11">
        <f t="shared" si="47"/>
        <v>20.100000000000001</v>
      </c>
      <c r="G167" s="11"/>
      <c r="H167" s="14" t="s">
        <v>157</v>
      </c>
    </row>
    <row r="168" spans="2:8" ht="51" x14ac:dyDescent="0.2">
      <c r="B168" s="9">
        <v>166</v>
      </c>
      <c r="C168" s="13" t="s">
        <v>156</v>
      </c>
      <c r="D168" s="11">
        <f t="shared" si="45"/>
        <v>7.6586119999999998</v>
      </c>
      <c r="E168" s="11">
        <f t="shared" si="46"/>
        <v>3.9782000000000002</v>
      </c>
      <c r="F168" s="11">
        <f t="shared" si="47"/>
        <v>20.100000000000001</v>
      </c>
      <c r="G168" s="11"/>
      <c r="H168" s="14" t="s">
        <v>158</v>
      </c>
    </row>
    <row r="169" spans="2:8" ht="51" x14ac:dyDescent="0.2">
      <c r="B169" s="9">
        <v>167</v>
      </c>
      <c r="C169" s="13" t="s">
        <v>156</v>
      </c>
      <c r="D169" s="11">
        <f t="shared" si="45"/>
        <v>7.6586119999999998</v>
      </c>
      <c r="E169" s="11">
        <f t="shared" si="46"/>
        <v>3.9782000000000002</v>
      </c>
      <c r="F169" s="11">
        <f t="shared" si="47"/>
        <v>20.100000000000001</v>
      </c>
      <c r="G169" s="11"/>
      <c r="H169" s="14" t="s">
        <v>159</v>
      </c>
    </row>
    <row r="170" spans="2:8" ht="51" x14ac:dyDescent="0.2">
      <c r="B170" s="9">
        <v>168</v>
      </c>
      <c r="C170" s="13" t="s">
        <v>156</v>
      </c>
      <c r="D170" s="11">
        <f t="shared" si="45"/>
        <v>7.6586119999999998</v>
      </c>
      <c r="E170" s="11">
        <f t="shared" si="46"/>
        <v>3.9782000000000002</v>
      </c>
      <c r="F170" s="11">
        <f t="shared" si="47"/>
        <v>20.100000000000001</v>
      </c>
      <c r="G170" s="11"/>
      <c r="H170" s="14" t="s">
        <v>160</v>
      </c>
    </row>
    <row r="171" spans="2:8" ht="51" x14ac:dyDescent="0.2">
      <c r="B171" s="9">
        <v>169</v>
      </c>
      <c r="C171" s="13" t="s">
        <v>161</v>
      </c>
      <c r="D171" s="11">
        <f t="shared" si="45"/>
        <v>7.7873239999999999</v>
      </c>
      <c r="E171" s="11">
        <f t="shared" si="46"/>
        <v>3.9782000000000002</v>
      </c>
      <c r="F171" s="11">
        <f t="shared" si="47"/>
        <v>20.100000000000001</v>
      </c>
      <c r="G171" s="11"/>
      <c r="H171" s="14" t="s">
        <v>162</v>
      </c>
    </row>
    <row r="172" spans="2:8" ht="51" x14ac:dyDescent="0.2">
      <c r="B172" s="9">
        <v>170</v>
      </c>
      <c r="C172" s="13" t="s">
        <v>161</v>
      </c>
      <c r="D172" s="11">
        <f t="shared" si="45"/>
        <v>7.7873239999999999</v>
      </c>
      <c r="E172" s="11">
        <f t="shared" si="46"/>
        <v>3.9782000000000002</v>
      </c>
      <c r="F172" s="11">
        <f t="shared" si="47"/>
        <v>20.100000000000001</v>
      </c>
      <c r="G172" s="11"/>
      <c r="H172" s="14" t="s">
        <v>163</v>
      </c>
    </row>
    <row r="173" spans="2:8" ht="51" x14ac:dyDescent="0.2">
      <c r="B173" s="9">
        <v>171</v>
      </c>
      <c r="C173" s="13" t="s">
        <v>161</v>
      </c>
      <c r="D173" s="11">
        <f t="shared" si="45"/>
        <v>7.7873239999999999</v>
      </c>
      <c r="E173" s="11">
        <f t="shared" si="46"/>
        <v>3.9782000000000002</v>
      </c>
      <c r="F173" s="11">
        <f t="shared" si="47"/>
        <v>20.100000000000001</v>
      </c>
      <c r="G173" s="11"/>
      <c r="H173" s="14" t="s">
        <v>164</v>
      </c>
    </row>
    <row r="174" spans="2:8" ht="51" x14ac:dyDescent="0.2">
      <c r="B174" s="9">
        <v>172</v>
      </c>
      <c r="C174" s="13" t="s">
        <v>161</v>
      </c>
      <c r="D174" s="11">
        <f t="shared" si="45"/>
        <v>7.7873239999999999</v>
      </c>
      <c r="E174" s="11">
        <f t="shared" si="46"/>
        <v>3.9782000000000002</v>
      </c>
      <c r="F174" s="11">
        <f t="shared" si="47"/>
        <v>20.100000000000001</v>
      </c>
      <c r="G174" s="11"/>
      <c r="H174" s="14" t="s">
        <v>165</v>
      </c>
    </row>
    <row r="175" spans="2:8" ht="51" x14ac:dyDescent="0.2">
      <c r="B175" s="9">
        <v>173</v>
      </c>
      <c r="C175" s="13" t="s">
        <v>166</v>
      </c>
      <c r="D175" s="11">
        <f t="shared" si="45"/>
        <v>7.8428639999999996</v>
      </c>
      <c r="E175" s="11">
        <f t="shared" si="46"/>
        <v>3.9782000000000002</v>
      </c>
      <c r="F175" s="11">
        <f t="shared" si="47"/>
        <v>20.100000000000001</v>
      </c>
      <c r="G175" s="11"/>
      <c r="H175" s="14" t="s">
        <v>167</v>
      </c>
    </row>
    <row r="176" spans="2:8" ht="51" x14ac:dyDescent="0.2">
      <c r="B176" s="9">
        <v>174</v>
      </c>
      <c r="C176" s="13" t="s">
        <v>166</v>
      </c>
      <c r="D176" s="11">
        <f t="shared" si="45"/>
        <v>7.8428639999999996</v>
      </c>
      <c r="E176" s="11">
        <f t="shared" si="46"/>
        <v>3.9782000000000002</v>
      </c>
      <c r="F176" s="11">
        <f t="shared" si="47"/>
        <v>20.100000000000001</v>
      </c>
      <c r="G176" s="11"/>
      <c r="H176" s="14" t="s">
        <v>168</v>
      </c>
    </row>
    <row r="177" spans="2:8" ht="51" x14ac:dyDescent="0.2">
      <c r="B177" s="9">
        <v>175</v>
      </c>
      <c r="C177" s="13" t="s">
        <v>166</v>
      </c>
      <c r="D177" s="11">
        <f t="shared" si="45"/>
        <v>7.8428639999999996</v>
      </c>
      <c r="E177" s="11">
        <f t="shared" si="46"/>
        <v>3.9782000000000002</v>
      </c>
      <c r="F177" s="11">
        <f t="shared" si="47"/>
        <v>20.100000000000001</v>
      </c>
      <c r="G177" s="11"/>
      <c r="H177" s="14" t="s">
        <v>169</v>
      </c>
    </row>
    <row r="178" spans="2:8" ht="51" x14ac:dyDescent="0.2">
      <c r="B178" s="9">
        <v>176</v>
      </c>
      <c r="C178" s="13" t="s">
        <v>166</v>
      </c>
      <c r="D178" s="11">
        <f t="shared" si="45"/>
        <v>7.8428639999999996</v>
      </c>
      <c r="E178" s="11">
        <f t="shared" si="46"/>
        <v>3.9782000000000002</v>
      </c>
      <c r="F178" s="11">
        <f t="shared" si="47"/>
        <v>20.100000000000001</v>
      </c>
      <c r="G178" s="11"/>
      <c r="H178" s="14" t="s">
        <v>170</v>
      </c>
    </row>
    <row r="179" spans="2:8" ht="51" x14ac:dyDescent="0.2">
      <c r="B179" s="9">
        <v>177</v>
      </c>
      <c r="C179" s="13" t="s">
        <v>171</v>
      </c>
      <c r="D179" s="11">
        <f>$D$56+$D$56+$D$50+D23</f>
        <v>8.2399640000000005</v>
      </c>
      <c r="E179" s="11">
        <f>$E$56+$E$56+$E$50+E23</f>
        <v>4.4968000000000004</v>
      </c>
      <c r="F179" s="11">
        <f>4.7+4.7+6.2+6.2</f>
        <v>21.8</v>
      </c>
      <c r="G179" s="11"/>
      <c r="H179" s="14" t="s">
        <v>172</v>
      </c>
    </row>
    <row r="180" spans="2:8" ht="51" x14ac:dyDescent="0.2">
      <c r="B180" s="9">
        <v>178</v>
      </c>
      <c r="C180" s="13" t="s">
        <v>171</v>
      </c>
      <c r="D180" s="11">
        <f t="shared" ref="D180:D206" si="48">$D$56+$D$56+$D$50+D24</f>
        <v>8.2399640000000005</v>
      </c>
      <c r="E180" s="11">
        <f t="shared" ref="E180:E183" si="49">$E$56+$E$56+$E$50+E24</f>
        <v>4.4968000000000004</v>
      </c>
      <c r="F180" s="11">
        <f t="shared" ref="F180:F206" si="50">4.7+4.7+6.2+6.2</f>
        <v>21.8</v>
      </c>
      <c r="G180" s="11"/>
      <c r="H180" s="14" t="s">
        <v>173</v>
      </c>
    </row>
    <row r="181" spans="2:8" ht="51" x14ac:dyDescent="0.2">
      <c r="B181" s="9">
        <v>179</v>
      </c>
      <c r="C181" s="13" t="s">
        <v>171</v>
      </c>
      <c r="D181" s="11">
        <f t="shared" si="48"/>
        <v>8.2399640000000005</v>
      </c>
      <c r="E181" s="11">
        <f t="shared" si="49"/>
        <v>4.4968000000000004</v>
      </c>
      <c r="F181" s="11">
        <f t="shared" si="50"/>
        <v>21.8</v>
      </c>
      <c r="G181" s="11"/>
      <c r="H181" s="14" t="s">
        <v>174</v>
      </c>
    </row>
    <row r="182" spans="2:8" ht="51" x14ac:dyDescent="0.2">
      <c r="B182" s="9">
        <v>180</v>
      </c>
      <c r="C182" s="13" t="s">
        <v>171</v>
      </c>
      <c r="D182" s="11">
        <f t="shared" si="48"/>
        <v>8.2399640000000005</v>
      </c>
      <c r="E182" s="11">
        <f t="shared" si="49"/>
        <v>4.4968000000000004</v>
      </c>
      <c r="F182" s="11">
        <f t="shared" si="50"/>
        <v>21.8</v>
      </c>
      <c r="G182" s="11"/>
      <c r="H182" s="14" t="s">
        <v>175</v>
      </c>
    </row>
    <row r="183" spans="2:8" ht="51" x14ac:dyDescent="0.2">
      <c r="B183" s="9">
        <v>181</v>
      </c>
      <c r="C183" s="13" t="s">
        <v>171</v>
      </c>
      <c r="D183" s="11">
        <f t="shared" si="48"/>
        <v>8.4201440000000005</v>
      </c>
      <c r="E183" s="11">
        <f t="shared" si="49"/>
        <v>4.4968000000000004</v>
      </c>
      <c r="F183" s="11">
        <f t="shared" si="50"/>
        <v>21.8</v>
      </c>
      <c r="G183" s="11"/>
      <c r="H183" s="14" t="s">
        <v>176</v>
      </c>
    </row>
    <row r="184" spans="2:8" ht="51" x14ac:dyDescent="0.2">
      <c r="B184" s="9">
        <v>182</v>
      </c>
      <c r="C184" s="13" t="s">
        <v>177</v>
      </c>
      <c r="D184" s="11">
        <f t="shared" si="48"/>
        <v>8.4201440000000005</v>
      </c>
      <c r="E184" s="11">
        <f>$E$56+$E$56+$E$50+E28</f>
        <v>4.4968000000000004</v>
      </c>
      <c r="F184" s="11">
        <f t="shared" si="50"/>
        <v>21.8</v>
      </c>
      <c r="G184" s="11"/>
      <c r="H184" s="14" t="s">
        <v>178</v>
      </c>
    </row>
    <row r="185" spans="2:8" ht="51" x14ac:dyDescent="0.2">
      <c r="B185" s="9">
        <v>183</v>
      </c>
      <c r="C185" s="13" t="s">
        <v>177</v>
      </c>
      <c r="D185" s="11">
        <f t="shared" si="48"/>
        <v>8.4201440000000005</v>
      </c>
      <c r="E185" s="11">
        <f t="shared" ref="E185:E206" si="51">$E$56+$E$56+$E$50+E29</f>
        <v>4.4968000000000004</v>
      </c>
      <c r="F185" s="11">
        <f t="shared" si="50"/>
        <v>21.8</v>
      </c>
      <c r="G185" s="11"/>
      <c r="H185" s="14" t="s">
        <v>179</v>
      </c>
    </row>
    <row r="186" spans="2:8" ht="51" x14ac:dyDescent="0.2">
      <c r="B186" s="9">
        <v>184</v>
      </c>
      <c r="C186" s="13" t="s">
        <v>177</v>
      </c>
      <c r="D186" s="11">
        <f t="shared" si="48"/>
        <v>8.4201440000000005</v>
      </c>
      <c r="E186" s="11">
        <f t="shared" si="51"/>
        <v>4.4968000000000004</v>
      </c>
      <c r="F186" s="11">
        <f t="shared" si="50"/>
        <v>21.8</v>
      </c>
      <c r="G186" s="11"/>
      <c r="H186" s="14" t="s">
        <v>180</v>
      </c>
    </row>
    <row r="187" spans="2:8" ht="51" x14ac:dyDescent="0.2">
      <c r="B187" s="9">
        <v>185</v>
      </c>
      <c r="C187" s="13" t="s">
        <v>177</v>
      </c>
      <c r="D187" s="11">
        <f t="shared" si="48"/>
        <v>8.4201440000000005</v>
      </c>
      <c r="E187" s="11">
        <f t="shared" si="51"/>
        <v>4.4968000000000004</v>
      </c>
      <c r="F187" s="11">
        <f t="shared" si="50"/>
        <v>21.8</v>
      </c>
      <c r="G187" s="11"/>
      <c r="H187" s="14" t="s">
        <v>181</v>
      </c>
    </row>
    <row r="188" spans="2:8" ht="51" x14ac:dyDescent="0.2">
      <c r="B188" s="9">
        <v>186</v>
      </c>
      <c r="C188" s="13" t="s">
        <v>177</v>
      </c>
      <c r="D188" s="11">
        <f t="shared" si="48"/>
        <v>8.4201440000000005</v>
      </c>
      <c r="E188" s="11">
        <f t="shared" si="51"/>
        <v>4.4968000000000004</v>
      </c>
      <c r="F188" s="11">
        <f t="shared" si="50"/>
        <v>21.8</v>
      </c>
      <c r="G188" s="11"/>
      <c r="H188" s="14" t="s">
        <v>182</v>
      </c>
    </row>
    <row r="189" spans="2:8" ht="51" x14ac:dyDescent="0.2">
      <c r="B189" s="9">
        <v>187</v>
      </c>
      <c r="C189" s="13" t="s">
        <v>183</v>
      </c>
      <c r="D189" s="11">
        <f t="shared" si="48"/>
        <v>8.5819039999999998</v>
      </c>
      <c r="E189" s="11">
        <f t="shared" si="51"/>
        <v>4.4968000000000004</v>
      </c>
      <c r="F189" s="11">
        <f t="shared" si="50"/>
        <v>21.8</v>
      </c>
      <c r="G189" s="11"/>
      <c r="H189" s="14" t="s">
        <v>184</v>
      </c>
    </row>
    <row r="190" spans="2:8" ht="51" x14ac:dyDescent="0.2">
      <c r="B190" s="9">
        <v>188</v>
      </c>
      <c r="C190" s="13" t="s">
        <v>183</v>
      </c>
      <c r="D190" s="11">
        <f t="shared" si="48"/>
        <v>8.5819039999999998</v>
      </c>
      <c r="E190" s="11">
        <f t="shared" si="51"/>
        <v>4.4968000000000004</v>
      </c>
      <c r="F190" s="11">
        <f t="shared" si="50"/>
        <v>21.8</v>
      </c>
      <c r="G190" s="11"/>
      <c r="H190" s="14" t="s">
        <v>185</v>
      </c>
    </row>
    <row r="191" spans="2:8" ht="51" x14ac:dyDescent="0.2">
      <c r="B191" s="9">
        <v>189</v>
      </c>
      <c r="C191" s="13" t="s">
        <v>183</v>
      </c>
      <c r="D191" s="11">
        <f t="shared" si="48"/>
        <v>8.5819039999999998</v>
      </c>
      <c r="E191" s="11">
        <f t="shared" si="51"/>
        <v>4.4968000000000004</v>
      </c>
      <c r="F191" s="11">
        <f t="shared" si="50"/>
        <v>21.8</v>
      </c>
      <c r="G191" s="11"/>
      <c r="H191" s="14" t="s">
        <v>186</v>
      </c>
    </row>
    <row r="192" spans="2:8" ht="51" x14ac:dyDescent="0.2">
      <c r="B192" s="9">
        <v>190</v>
      </c>
      <c r="C192" s="13" t="s">
        <v>183</v>
      </c>
      <c r="D192" s="11">
        <f t="shared" si="48"/>
        <v>8.5819039999999998</v>
      </c>
      <c r="E192" s="11">
        <f t="shared" si="51"/>
        <v>4.4968000000000004</v>
      </c>
      <c r="F192" s="11">
        <f t="shared" si="50"/>
        <v>21.8</v>
      </c>
      <c r="G192" s="11"/>
      <c r="H192" s="14" t="s">
        <v>187</v>
      </c>
    </row>
    <row r="193" spans="2:8" ht="51" x14ac:dyDescent="0.2">
      <c r="B193" s="9">
        <v>191</v>
      </c>
      <c r="C193" s="13" t="s">
        <v>183</v>
      </c>
      <c r="D193" s="11">
        <f t="shared" si="48"/>
        <v>8.5819039999999998</v>
      </c>
      <c r="E193" s="11">
        <f t="shared" si="51"/>
        <v>4.4968000000000004</v>
      </c>
      <c r="F193" s="11">
        <f t="shared" si="50"/>
        <v>21.8</v>
      </c>
      <c r="G193" s="11"/>
      <c r="H193" s="14" t="s">
        <v>188</v>
      </c>
    </row>
    <row r="194" spans="2:8" ht="51" x14ac:dyDescent="0.2">
      <c r="B194" s="9">
        <v>192</v>
      </c>
      <c r="C194" s="13" t="s">
        <v>183</v>
      </c>
      <c r="D194" s="11">
        <f t="shared" si="48"/>
        <v>8.5819039999999998</v>
      </c>
      <c r="E194" s="11">
        <f t="shared" si="51"/>
        <v>4.4968000000000004</v>
      </c>
      <c r="F194" s="11">
        <f t="shared" si="50"/>
        <v>21.8</v>
      </c>
      <c r="G194" s="11"/>
      <c r="H194" s="14" t="s">
        <v>189</v>
      </c>
    </row>
    <row r="195" spans="2:8" ht="51" x14ac:dyDescent="0.2">
      <c r="B195" s="9">
        <v>193</v>
      </c>
      <c r="C195" s="13" t="s">
        <v>190</v>
      </c>
      <c r="D195" s="11">
        <f t="shared" si="48"/>
        <v>9.0564640000000001</v>
      </c>
      <c r="E195" s="11">
        <f t="shared" si="51"/>
        <v>4.4968000000000004</v>
      </c>
      <c r="F195" s="11">
        <f t="shared" si="50"/>
        <v>21.8</v>
      </c>
      <c r="G195" s="11"/>
      <c r="H195" s="14" t="s">
        <v>191</v>
      </c>
    </row>
    <row r="196" spans="2:8" ht="51" x14ac:dyDescent="0.2">
      <c r="B196" s="9">
        <v>194</v>
      </c>
      <c r="C196" s="13" t="s">
        <v>190</v>
      </c>
      <c r="D196" s="11">
        <f t="shared" si="48"/>
        <v>9.0564640000000001</v>
      </c>
      <c r="E196" s="11">
        <f t="shared" si="51"/>
        <v>4.4968000000000004</v>
      </c>
      <c r="F196" s="11">
        <f t="shared" si="50"/>
        <v>21.8</v>
      </c>
      <c r="G196" s="11"/>
      <c r="H196" s="14" t="s">
        <v>192</v>
      </c>
    </row>
    <row r="197" spans="2:8" ht="51" x14ac:dyDescent="0.2">
      <c r="B197" s="9">
        <v>195</v>
      </c>
      <c r="C197" s="13" t="s">
        <v>190</v>
      </c>
      <c r="D197" s="11">
        <f t="shared" si="48"/>
        <v>9.0564640000000001</v>
      </c>
      <c r="E197" s="11">
        <f t="shared" si="51"/>
        <v>4.4968000000000004</v>
      </c>
      <c r="F197" s="11">
        <f t="shared" si="50"/>
        <v>21.8</v>
      </c>
      <c r="G197" s="11"/>
      <c r="H197" s="14" t="s">
        <v>193</v>
      </c>
    </row>
    <row r="198" spans="2:8" ht="51" x14ac:dyDescent="0.2">
      <c r="B198" s="9">
        <v>196</v>
      </c>
      <c r="C198" s="13" t="s">
        <v>190</v>
      </c>
      <c r="D198" s="11">
        <f t="shared" si="48"/>
        <v>9.0564640000000001</v>
      </c>
      <c r="E198" s="11">
        <f t="shared" si="51"/>
        <v>4.4968000000000004</v>
      </c>
      <c r="F198" s="11">
        <f t="shared" si="50"/>
        <v>21.8</v>
      </c>
      <c r="G198" s="11"/>
      <c r="H198" s="14" t="s">
        <v>194</v>
      </c>
    </row>
    <row r="199" spans="2:8" ht="51" x14ac:dyDescent="0.2">
      <c r="B199" s="9">
        <v>197</v>
      </c>
      <c r="C199" s="13" t="s">
        <v>190</v>
      </c>
      <c r="D199" s="11">
        <f t="shared" si="48"/>
        <v>9.0564640000000001</v>
      </c>
      <c r="E199" s="11">
        <f t="shared" si="51"/>
        <v>4.4968000000000004</v>
      </c>
      <c r="F199" s="11">
        <f t="shared" si="50"/>
        <v>21.8</v>
      </c>
      <c r="G199" s="11"/>
      <c r="H199" s="14" t="s">
        <v>195</v>
      </c>
    </row>
    <row r="200" spans="2:8" ht="51" x14ac:dyDescent="0.2">
      <c r="B200" s="9">
        <v>198</v>
      </c>
      <c r="C200" s="13" t="s">
        <v>190</v>
      </c>
      <c r="D200" s="11">
        <f t="shared" si="48"/>
        <v>9.0564640000000001</v>
      </c>
      <c r="E200" s="11">
        <f t="shared" si="51"/>
        <v>4.4968000000000004</v>
      </c>
      <c r="F200" s="11">
        <f t="shared" si="50"/>
        <v>21.8</v>
      </c>
      <c r="G200" s="11"/>
      <c r="H200" s="14" t="s">
        <v>196</v>
      </c>
    </row>
    <row r="201" spans="2:8" ht="51" x14ac:dyDescent="0.2">
      <c r="B201" s="9">
        <v>199</v>
      </c>
      <c r="C201" s="13" t="s">
        <v>197</v>
      </c>
      <c r="D201" s="11">
        <f t="shared" si="48"/>
        <v>9.0118239999999989</v>
      </c>
      <c r="E201" s="11">
        <f t="shared" si="51"/>
        <v>4.4968000000000004</v>
      </c>
      <c r="F201" s="11">
        <f t="shared" si="50"/>
        <v>21.8</v>
      </c>
      <c r="G201" s="11"/>
      <c r="H201" s="14" t="s">
        <v>198</v>
      </c>
    </row>
    <row r="202" spans="2:8" ht="51" x14ac:dyDescent="0.2">
      <c r="B202" s="9">
        <v>200</v>
      </c>
      <c r="C202" s="13" t="s">
        <v>197</v>
      </c>
      <c r="D202" s="11">
        <f t="shared" si="48"/>
        <v>9.0118239999999989</v>
      </c>
      <c r="E202" s="11">
        <f t="shared" si="51"/>
        <v>4.4968000000000004</v>
      </c>
      <c r="F202" s="11">
        <f t="shared" si="50"/>
        <v>21.8</v>
      </c>
      <c r="G202" s="11"/>
      <c r="H202" s="14" t="s">
        <v>199</v>
      </c>
    </row>
    <row r="203" spans="2:8" ht="51" x14ac:dyDescent="0.2">
      <c r="B203" s="9">
        <v>201</v>
      </c>
      <c r="C203" s="13" t="s">
        <v>197</v>
      </c>
      <c r="D203" s="11">
        <f t="shared" si="48"/>
        <v>9.0118239999999989</v>
      </c>
      <c r="E203" s="11">
        <f t="shared" si="51"/>
        <v>4.4968000000000004</v>
      </c>
      <c r="F203" s="11">
        <f t="shared" si="50"/>
        <v>21.8</v>
      </c>
      <c r="G203" s="11"/>
      <c r="H203" s="14" t="s">
        <v>200</v>
      </c>
    </row>
    <row r="204" spans="2:8" ht="51" x14ac:dyDescent="0.2">
      <c r="B204" s="9">
        <v>202</v>
      </c>
      <c r="C204" s="13" t="s">
        <v>197</v>
      </c>
      <c r="D204" s="11">
        <f t="shared" si="48"/>
        <v>9.0118239999999989</v>
      </c>
      <c r="E204" s="11">
        <f t="shared" si="51"/>
        <v>4.4968000000000004</v>
      </c>
      <c r="F204" s="11">
        <f t="shared" si="50"/>
        <v>21.8</v>
      </c>
      <c r="G204" s="11"/>
      <c r="H204" s="14" t="s">
        <v>201</v>
      </c>
    </row>
    <row r="205" spans="2:8" ht="51" x14ac:dyDescent="0.2">
      <c r="B205" s="9">
        <v>203</v>
      </c>
      <c r="C205" s="13" t="s">
        <v>197</v>
      </c>
      <c r="D205" s="11">
        <f t="shared" si="48"/>
        <v>9.0118239999999989</v>
      </c>
      <c r="E205" s="11">
        <f t="shared" si="51"/>
        <v>4.4968000000000004</v>
      </c>
      <c r="F205" s="11">
        <f t="shared" si="50"/>
        <v>21.8</v>
      </c>
      <c r="G205" s="11"/>
      <c r="H205" s="14" t="s">
        <v>202</v>
      </c>
    </row>
    <row r="206" spans="2:8" ht="51" x14ac:dyDescent="0.2">
      <c r="B206" s="9">
        <v>204</v>
      </c>
      <c r="C206" s="13" t="s">
        <v>197</v>
      </c>
      <c r="D206" s="11">
        <f t="shared" si="48"/>
        <v>9.0118239999999989</v>
      </c>
      <c r="E206" s="11">
        <f t="shared" si="51"/>
        <v>4.4968000000000004</v>
      </c>
      <c r="F206" s="11">
        <f t="shared" si="50"/>
        <v>21.8</v>
      </c>
      <c r="G206" s="11"/>
      <c r="H206" s="14" t="s">
        <v>203</v>
      </c>
    </row>
    <row r="207" spans="2:8" ht="51" x14ac:dyDescent="0.2">
      <c r="B207" s="9">
        <v>205</v>
      </c>
      <c r="C207" s="13" t="s">
        <v>204</v>
      </c>
      <c r="D207" s="11">
        <f>$D$56+$D$56+$D$56+D45</f>
        <v>9.3910160000000005</v>
      </c>
      <c r="E207" s="11">
        <f>$E$56+$E$56+$E$56+E45</f>
        <v>4.6787999999999998</v>
      </c>
      <c r="F207" s="11">
        <f>4.7+6.2+6.2+6.2</f>
        <v>23.3</v>
      </c>
      <c r="G207" s="11"/>
      <c r="H207" s="14" t="s">
        <v>205</v>
      </c>
    </row>
    <row r="208" spans="2:8" ht="51" x14ac:dyDescent="0.2">
      <c r="B208" s="9">
        <v>206</v>
      </c>
      <c r="C208" s="13" t="s">
        <v>204</v>
      </c>
      <c r="D208" s="11">
        <f t="shared" ref="D208:D212" si="52">$D$56+$D$56+$D$56+D46</f>
        <v>9.3910160000000005</v>
      </c>
      <c r="E208" s="11">
        <f t="shared" ref="E208:E218" si="53">$E$56+$E$56+$E$56+E46</f>
        <v>4.6787999999999998</v>
      </c>
      <c r="F208" s="11">
        <f t="shared" ref="F208:F212" si="54">4.7+6.2+6.2+6.2</f>
        <v>23.3</v>
      </c>
      <c r="G208" s="11"/>
      <c r="H208" s="14" t="s">
        <v>206</v>
      </c>
    </row>
    <row r="209" spans="2:8" ht="51" x14ac:dyDescent="0.2">
      <c r="B209" s="9">
        <v>207</v>
      </c>
      <c r="C209" s="13" t="s">
        <v>204</v>
      </c>
      <c r="D209" s="11">
        <f t="shared" si="52"/>
        <v>9.3910160000000005</v>
      </c>
      <c r="E209" s="11">
        <f t="shared" si="53"/>
        <v>4.6787999999999998</v>
      </c>
      <c r="F209" s="11">
        <f t="shared" si="54"/>
        <v>23.3</v>
      </c>
      <c r="G209" s="11"/>
      <c r="H209" s="14" t="s">
        <v>207</v>
      </c>
    </row>
    <row r="210" spans="2:8" ht="51" x14ac:dyDescent="0.2">
      <c r="B210" s="9">
        <v>208</v>
      </c>
      <c r="C210" s="13" t="s">
        <v>204</v>
      </c>
      <c r="D210" s="11">
        <f t="shared" si="52"/>
        <v>9.3910160000000005</v>
      </c>
      <c r="E210" s="11">
        <f t="shared" si="53"/>
        <v>4.6787999999999998</v>
      </c>
      <c r="F210" s="11">
        <f t="shared" si="54"/>
        <v>23.3</v>
      </c>
      <c r="G210" s="11"/>
      <c r="H210" s="14" t="s">
        <v>208</v>
      </c>
    </row>
    <row r="211" spans="2:8" ht="51" x14ac:dyDescent="0.2">
      <c r="B211" s="9">
        <v>209</v>
      </c>
      <c r="C211" s="13" t="s">
        <v>204</v>
      </c>
      <c r="D211" s="11">
        <f t="shared" si="52"/>
        <v>9.3910160000000005</v>
      </c>
      <c r="E211" s="11">
        <f t="shared" si="53"/>
        <v>4.6787999999999998</v>
      </c>
      <c r="F211" s="11">
        <f t="shared" si="54"/>
        <v>23.3</v>
      </c>
      <c r="G211" s="11"/>
      <c r="H211" s="14" t="s">
        <v>209</v>
      </c>
    </row>
    <row r="212" spans="2:8" ht="51" x14ac:dyDescent="0.2">
      <c r="B212" s="9">
        <v>210</v>
      </c>
      <c r="C212" s="13" t="s">
        <v>204</v>
      </c>
      <c r="D212" s="11">
        <f t="shared" si="52"/>
        <v>9.3910160000000005</v>
      </c>
      <c r="E212" s="11">
        <f t="shared" si="53"/>
        <v>4.6787999999999998</v>
      </c>
      <c r="F212" s="11">
        <f t="shared" si="54"/>
        <v>23.3</v>
      </c>
      <c r="G212" s="11"/>
      <c r="H212" s="14" t="s">
        <v>210</v>
      </c>
    </row>
    <row r="213" spans="2:8" ht="51" x14ac:dyDescent="0.2">
      <c r="B213" s="9">
        <v>211</v>
      </c>
      <c r="C213" s="13" t="s">
        <v>204</v>
      </c>
      <c r="D213" s="11">
        <f>$D$56+$D$56+$D$56+D51</f>
        <v>9.7702080000000002</v>
      </c>
      <c r="E213" s="11">
        <f t="shared" si="53"/>
        <v>4.8608000000000002</v>
      </c>
      <c r="F213" s="11">
        <f>6.2+6.2+6.2+6.2</f>
        <v>24.8</v>
      </c>
      <c r="G213" s="11"/>
      <c r="H213" s="14" t="s">
        <v>211</v>
      </c>
    </row>
    <row r="214" spans="2:8" ht="51" x14ac:dyDescent="0.2">
      <c r="B214" s="9">
        <v>212</v>
      </c>
      <c r="C214" s="13" t="s">
        <v>212</v>
      </c>
      <c r="D214" s="11">
        <f t="shared" ref="D214:D218" si="55">$D$56+$D$56+$D$56+D52</f>
        <v>9.7702080000000002</v>
      </c>
      <c r="E214" s="11">
        <f t="shared" si="53"/>
        <v>4.8608000000000002</v>
      </c>
      <c r="F214" s="11">
        <f t="shared" ref="F214:F218" si="56">6.2+6.2+6.2+6.2</f>
        <v>24.8</v>
      </c>
      <c r="G214" s="11"/>
      <c r="H214" s="14" t="s">
        <v>213</v>
      </c>
    </row>
    <row r="215" spans="2:8" ht="51" x14ac:dyDescent="0.2">
      <c r="B215" s="9">
        <v>213</v>
      </c>
      <c r="C215" s="13" t="s">
        <v>212</v>
      </c>
      <c r="D215" s="11">
        <f t="shared" si="55"/>
        <v>9.7702080000000002</v>
      </c>
      <c r="E215" s="11">
        <f t="shared" si="53"/>
        <v>4.8608000000000002</v>
      </c>
      <c r="F215" s="11">
        <f t="shared" si="56"/>
        <v>24.8</v>
      </c>
      <c r="G215" s="11"/>
      <c r="H215" s="14" t="s">
        <v>214</v>
      </c>
    </row>
    <row r="216" spans="2:8" ht="51" x14ac:dyDescent="0.2">
      <c r="B216" s="9">
        <v>214</v>
      </c>
      <c r="C216" s="13" t="s">
        <v>212</v>
      </c>
      <c r="D216" s="11">
        <f t="shared" si="55"/>
        <v>9.7702080000000002</v>
      </c>
      <c r="E216" s="11">
        <f t="shared" si="53"/>
        <v>4.8608000000000002</v>
      </c>
      <c r="F216" s="11">
        <f t="shared" si="56"/>
        <v>24.8</v>
      </c>
      <c r="G216" s="11"/>
      <c r="H216" s="14" t="s">
        <v>215</v>
      </c>
    </row>
    <row r="217" spans="2:8" ht="51" x14ac:dyDescent="0.2">
      <c r="B217" s="9">
        <v>215</v>
      </c>
      <c r="C217" s="13" t="s">
        <v>212</v>
      </c>
      <c r="D217" s="11">
        <f t="shared" si="55"/>
        <v>9.7702080000000002</v>
      </c>
      <c r="E217" s="11">
        <f t="shared" si="53"/>
        <v>4.8608000000000002</v>
      </c>
      <c r="F217" s="11">
        <f t="shared" si="56"/>
        <v>24.8</v>
      </c>
      <c r="G217" s="11"/>
      <c r="H217" s="14" t="s">
        <v>216</v>
      </c>
    </row>
    <row r="218" spans="2:8" ht="51" x14ac:dyDescent="0.2">
      <c r="B218" s="9">
        <v>216</v>
      </c>
      <c r="C218" s="13" t="s">
        <v>212</v>
      </c>
      <c r="D218" s="11">
        <f t="shared" si="55"/>
        <v>9.7702080000000002</v>
      </c>
      <c r="E218" s="11">
        <f t="shared" si="53"/>
        <v>4.8608000000000002</v>
      </c>
      <c r="F218" s="11">
        <f t="shared" si="56"/>
        <v>24.8</v>
      </c>
      <c r="G218" s="11"/>
      <c r="H218" s="14" t="s">
        <v>217</v>
      </c>
    </row>
    <row r="219" spans="2:8" ht="63.75" x14ac:dyDescent="0.2">
      <c r="B219" s="9">
        <v>217</v>
      </c>
      <c r="C219" s="13" t="s">
        <v>218</v>
      </c>
      <c r="D219" s="11">
        <f>$D$56+$D$56+$D$56+$D$50+D9</f>
        <v>9.9416380000000011</v>
      </c>
      <c r="E219" s="11">
        <f>$E$56+$E$56++$E$56+$E$50+E9</f>
        <v>5.1933999999999996</v>
      </c>
      <c r="F219" s="11">
        <f>3.3+4.7+6.2+6.2+6.2</f>
        <v>26.599999999999998</v>
      </c>
      <c r="G219" s="11"/>
      <c r="H219" s="14" t="s">
        <v>219</v>
      </c>
    </row>
    <row r="220" spans="2:8" ht="63.75" x14ac:dyDescent="0.2">
      <c r="B220" s="9">
        <v>218</v>
      </c>
      <c r="C220" s="13" t="s">
        <v>218</v>
      </c>
      <c r="D220" s="11">
        <f t="shared" ref="D220:D232" si="57">$D$56+$D$56+$D$56+$D$50+D10</f>
        <v>9.9416380000000011</v>
      </c>
      <c r="E220" s="11">
        <f t="shared" ref="E220:E232" si="58">$E$56+$E$56++$E$56+$E$50+E10</f>
        <v>5.1933999999999996</v>
      </c>
      <c r="F220" s="11">
        <f t="shared" ref="F220:F232" si="59">3.3+4.7+6.2+6.2+6.2</f>
        <v>26.599999999999998</v>
      </c>
      <c r="G220" s="11"/>
      <c r="H220" s="14" t="s">
        <v>220</v>
      </c>
    </row>
    <row r="221" spans="2:8" ht="63.75" x14ac:dyDescent="0.2">
      <c r="B221" s="9">
        <v>219</v>
      </c>
      <c r="C221" s="13" t="s">
        <v>221</v>
      </c>
      <c r="D221" s="11">
        <f t="shared" si="57"/>
        <v>10.101164000000001</v>
      </c>
      <c r="E221" s="11">
        <f t="shared" si="58"/>
        <v>5.1933999999999996</v>
      </c>
      <c r="F221" s="11">
        <f t="shared" si="59"/>
        <v>26.599999999999998</v>
      </c>
      <c r="G221" s="11"/>
      <c r="H221" s="14" t="s">
        <v>222</v>
      </c>
    </row>
    <row r="222" spans="2:8" ht="63.75" x14ac:dyDescent="0.2">
      <c r="B222" s="9">
        <v>220</v>
      </c>
      <c r="C222" s="13" t="s">
        <v>221</v>
      </c>
      <c r="D222" s="11">
        <f t="shared" si="57"/>
        <v>10.101164000000001</v>
      </c>
      <c r="E222" s="11">
        <f t="shared" si="58"/>
        <v>5.1933999999999996</v>
      </c>
      <c r="F222" s="11">
        <f t="shared" si="59"/>
        <v>26.599999999999998</v>
      </c>
      <c r="G222" s="11"/>
      <c r="H222" s="14" t="s">
        <v>223</v>
      </c>
    </row>
    <row r="223" spans="2:8" ht="63.75" x14ac:dyDescent="0.2">
      <c r="B223" s="9">
        <v>221</v>
      </c>
      <c r="C223" s="13" t="s">
        <v>221</v>
      </c>
      <c r="D223" s="11">
        <f t="shared" si="57"/>
        <v>10.101164000000001</v>
      </c>
      <c r="E223" s="11">
        <f t="shared" si="58"/>
        <v>5.1933999999999996</v>
      </c>
      <c r="F223" s="11">
        <f t="shared" si="59"/>
        <v>26.599999999999998</v>
      </c>
      <c r="G223" s="11"/>
      <c r="H223" s="14" t="s">
        <v>224</v>
      </c>
    </row>
    <row r="224" spans="2:8" ht="63.75" x14ac:dyDescent="0.2">
      <c r="B224" s="9">
        <v>222</v>
      </c>
      <c r="C224" s="13" t="s">
        <v>221</v>
      </c>
      <c r="D224" s="11">
        <f t="shared" si="57"/>
        <v>10.101164000000001</v>
      </c>
      <c r="E224" s="11">
        <f t="shared" si="58"/>
        <v>5.1933999999999996</v>
      </c>
      <c r="F224" s="11">
        <f t="shared" si="59"/>
        <v>26.599999999999998</v>
      </c>
      <c r="G224" s="11"/>
      <c r="H224" s="14" t="s">
        <v>225</v>
      </c>
    </row>
    <row r="225" spans="2:8" ht="63.75" x14ac:dyDescent="0.2">
      <c r="B225" s="9">
        <v>223</v>
      </c>
      <c r="C225" s="13" t="s">
        <v>226</v>
      </c>
      <c r="D225" s="11">
        <f t="shared" si="57"/>
        <v>10.229876000000001</v>
      </c>
      <c r="E225" s="11">
        <f t="shared" si="58"/>
        <v>5.1933999999999996</v>
      </c>
      <c r="F225" s="11">
        <f t="shared" si="59"/>
        <v>26.599999999999998</v>
      </c>
      <c r="G225" s="11"/>
      <c r="H225" s="14" t="s">
        <v>227</v>
      </c>
    </row>
    <row r="226" spans="2:8" ht="63.75" x14ac:dyDescent="0.2">
      <c r="B226" s="9">
        <v>224</v>
      </c>
      <c r="C226" s="13" t="s">
        <v>226</v>
      </c>
      <c r="D226" s="11">
        <f t="shared" si="57"/>
        <v>10.229876000000001</v>
      </c>
      <c r="E226" s="11">
        <f t="shared" si="58"/>
        <v>5.1933999999999996</v>
      </c>
      <c r="F226" s="11">
        <f t="shared" si="59"/>
        <v>26.599999999999998</v>
      </c>
      <c r="G226" s="11"/>
      <c r="H226" s="14" t="s">
        <v>228</v>
      </c>
    </row>
    <row r="227" spans="2:8" ht="63.75" x14ac:dyDescent="0.2">
      <c r="B227" s="9">
        <v>225</v>
      </c>
      <c r="C227" s="13" t="s">
        <v>226</v>
      </c>
      <c r="D227" s="11">
        <f t="shared" si="57"/>
        <v>10.229876000000001</v>
      </c>
      <c r="E227" s="11">
        <f t="shared" si="58"/>
        <v>5.1933999999999996</v>
      </c>
      <c r="F227" s="11">
        <f t="shared" si="59"/>
        <v>26.599999999999998</v>
      </c>
      <c r="G227" s="11"/>
      <c r="H227" s="14" t="s">
        <v>229</v>
      </c>
    </row>
    <row r="228" spans="2:8" ht="63.75" x14ac:dyDescent="0.2">
      <c r="B228" s="9">
        <v>226</v>
      </c>
      <c r="C228" s="13" t="s">
        <v>226</v>
      </c>
      <c r="D228" s="11">
        <f t="shared" si="57"/>
        <v>10.229876000000001</v>
      </c>
      <c r="E228" s="11">
        <f t="shared" si="58"/>
        <v>5.1933999999999996</v>
      </c>
      <c r="F228" s="11">
        <f t="shared" si="59"/>
        <v>26.599999999999998</v>
      </c>
      <c r="G228" s="11"/>
      <c r="H228" s="14" t="s">
        <v>230</v>
      </c>
    </row>
    <row r="229" spans="2:8" ht="63.75" x14ac:dyDescent="0.2">
      <c r="B229" s="9">
        <v>227</v>
      </c>
      <c r="C229" s="13" t="s">
        <v>231</v>
      </c>
      <c r="D229" s="11">
        <f t="shared" si="57"/>
        <v>10.285416</v>
      </c>
      <c r="E229" s="11">
        <f t="shared" si="58"/>
        <v>5.1933999999999996</v>
      </c>
      <c r="F229" s="11">
        <f t="shared" si="59"/>
        <v>26.599999999999998</v>
      </c>
      <c r="G229" s="11"/>
      <c r="H229" s="14" t="s">
        <v>232</v>
      </c>
    </row>
    <row r="230" spans="2:8" ht="63.75" x14ac:dyDescent="0.2">
      <c r="B230" s="9">
        <v>228</v>
      </c>
      <c r="C230" s="13" t="s">
        <v>231</v>
      </c>
      <c r="D230" s="11">
        <f t="shared" si="57"/>
        <v>10.285416</v>
      </c>
      <c r="E230" s="11">
        <f t="shared" si="58"/>
        <v>5.1933999999999996</v>
      </c>
      <c r="F230" s="11">
        <f t="shared" si="59"/>
        <v>26.599999999999998</v>
      </c>
      <c r="G230" s="11"/>
      <c r="H230" s="14" t="s">
        <v>233</v>
      </c>
    </row>
    <row r="231" spans="2:8" ht="63.75" x14ac:dyDescent="0.2">
      <c r="B231" s="9">
        <v>229</v>
      </c>
      <c r="C231" s="13" t="s">
        <v>231</v>
      </c>
      <c r="D231" s="11">
        <f t="shared" si="57"/>
        <v>10.285416</v>
      </c>
      <c r="E231" s="11">
        <f t="shared" si="58"/>
        <v>5.1933999999999996</v>
      </c>
      <c r="F231" s="11">
        <f t="shared" si="59"/>
        <v>26.599999999999998</v>
      </c>
      <c r="G231" s="11"/>
      <c r="H231" s="14" t="s">
        <v>234</v>
      </c>
    </row>
    <row r="232" spans="2:8" ht="63.75" x14ac:dyDescent="0.2">
      <c r="B232" s="9">
        <v>230</v>
      </c>
      <c r="C232" s="13" t="s">
        <v>231</v>
      </c>
      <c r="D232" s="11">
        <f t="shared" si="57"/>
        <v>10.285416</v>
      </c>
      <c r="E232" s="11">
        <f t="shared" si="58"/>
        <v>5.1933999999999996</v>
      </c>
      <c r="F232" s="11">
        <f t="shared" si="59"/>
        <v>26.599999999999998</v>
      </c>
      <c r="G232" s="11"/>
      <c r="H232" s="14" t="s">
        <v>235</v>
      </c>
    </row>
    <row r="233" spans="2:8" ht="63.75" x14ac:dyDescent="0.2">
      <c r="B233" s="9">
        <v>231</v>
      </c>
      <c r="C233" s="13" t="s">
        <v>236</v>
      </c>
      <c r="D233" s="11">
        <f>$D$56+$D$56++$D$56+$D$50+D23</f>
        <v>10.682516</v>
      </c>
      <c r="E233" s="11">
        <f>$E$56+$E$56+$E$56+$E$50+E23</f>
        <v>5.7119999999999997</v>
      </c>
      <c r="F233" s="11">
        <f>4.7+4.7+6.2+6.2+6.2</f>
        <v>28</v>
      </c>
      <c r="G233" s="11"/>
      <c r="H233" s="14" t="s">
        <v>237</v>
      </c>
    </row>
    <row r="234" spans="2:8" ht="63.75" x14ac:dyDescent="0.2">
      <c r="B234" s="9">
        <v>232</v>
      </c>
      <c r="C234" s="13" t="s">
        <v>236</v>
      </c>
      <c r="D234" s="11">
        <f t="shared" ref="D234:D260" si="60">$D$56+$D$56++$D$56+$D$50+D24</f>
        <v>10.682516</v>
      </c>
      <c r="E234" s="11">
        <f t="shared" ref="E234:E260" si="61">$E$56+$E$56+$E$56+$E$50+E24</f>
        <v>5.7119999999999997</v>
      </c>
      <c r="F234" s="11">
        <f t="shared" ref="F234:F260" si="62">4.7+4.7+6.2+6.2+6.2</f>
        <v>28</v>
      </c>
      <c r="G234" s="11"/>
      <c r="H234" s="14" t="s">
        <v>238</v>
      </c>
    </row>
    <row r="235" spans="2:8" ht="63.75" x14ac:dyDescent="0.2">
      <c r="B235" s="9">
        <v>233</v>
      </c>
      <c r="C235" s="13" t="s">
        <v>236</v>
      </c>
      <c r="D235" s="11">
        <f t="shared" si="60"/>
        <v>10.682516</v>
      </c>
      <c r="E235" s="11">
        <f t="shared" si="61"/>
        <v>5.7119999999999997</v>
      </c>
      <c r="F235" s="11">
        <f t="shared" si="62"/>
        <v>28</v>
      </c>
      <c r="G235" s="11"/>
      <c r="H235" s="14" t="s">
        <v>239</v>
      </c>
    </row>
    <row r="236" spans="2:8" ht="63.75" x14ac:dyDescent="0.2">
      <c r="B236" s="9">
        <v>234</v>
      </c>
      <c r="C236" s="13" t="s">
        <v>236</v>
      </c>
      <c r="D236" s="11">
        <f t="shared" si="60"/>
        <v>10.682516</v>
      </c>
      <c r="E236" s="11">
        <f t="shared" si="61"/>
        <v>5.7119999999999997</v>
      </c>
      <c r="F236" s="11">
        <f t="shared" si="62"/>
        <v>28</v>
      </c>
      <c r="G236" s="11"/>
      <c r="H236" s="14" t="s">
        <v>240</v>
      </c>
    </row>
    <row r="237" spans="2:8" ht="63.75" x14ac:dyDescent="0.2">
      <c r="B237" s="9">
        <v>235</v>
      </c>
      <c r="C237" s="13" t="s">
        <v>236</v>
      </c>
      <c r="D237" s="11">
        <f t="shared" si="60"/>
        <v>10.862696</v>
      </c>
      <c r="E237" s="11">
        <f t="shared" si="61"/>
        <v>5.7119999999999997</v>
      </c>
      <c r="F237" s="11">
        <f t="shared" si="62"/>
        <v>28</v>
      </c>
      <c r="G237" s="11"/>
      <c r="H237" s="14" t="s">
        <v>241</v>
      </c>
    </row>
    <row r="238" spans="2:8" ht="63.75" x14ac:dyDescent="0.2">
      <c r="B238" s="9">
        <v>236</v>
      </c>
      <c r="C238" s="13" t="s">
        <v>242</v>
      </c>
      <c r="D238" s="11">
        <f t="shared" si="60"/>
        <v>10.862696</v>
      </c>
      <c r="E238" s="11">
        <f t="shared" si="61"/>
        <v>5.7119999999999997</v>
      </c>
      <c r="F238" s="11">
        <f t="shared" si="62"/>
        <v>28</v>
      </c>
      <c r="G238" s="11"/>
      <c r="H238" s="14" t="s">
        <v>243</v>
      </c>
    </row>
    <row r="239" spans="2:8" ht="63.75" x14ac:dyDescent="0.2">
      <c r="B239" s="9">
        <v>237</v>
      </c>
      <c r="C239" s="13" t="s">
        <v>242</v>
      </c>
      <c r="D239" s="11">
        <f t="shared" si="60"/>
        <v>10.862696</v>
      </c>
      <c r="E239" s="11">
        <f t="shared" si="61"/>
        <v>5.7119999999999997</v>
      </c>
      <c r="F239" s="11">
        <f t="shared" si="62"/>
        <v>28</v>
      </c>
      <c r="G239" s="11"/>
      <c r="H239" s="14" t="s">
        <v>244</v>
      </c>
    </row>
    <row r="240" spans="2:8" ht="63.75" x14ac:dyDescent="0.2">
      <c r="B240" s="9">
        <v>238</v>
      </c>
      <c r="C240" s="13" t="s">
        <v>242</v>
      </c>
      <c r="D240" s="11">
        <f t="shared" si="60"/>
        <v>10.862696</v>
      </c>
      <c r="E240" s="11">
        <f t="shared" si="61"/>
        <v>5.7119999999999997</v>
      </c>
      <c r="F240" s="11">
        <f t="shared" si="62"/>
        <v>28</v>
      </c>
      <c r="G240" s="11"/>
      <c r="H240" s="14" t="s">
        <v>245</v>
      </c>
    </row>
    <row r="241" spans="2:8" ht="63.75" x14ac:dyDescent="0.2">
      <c r="B241" s="9">
        <v>239</v>
      </c>
      <c r="C241" s="13" t="s">
        <v>242</v>
      </c>
      <c r="D241" s="11">
        <f t="shared" si="60"/>
        <v>10.862696</v>
      </c>
      <c r="E241" s="11">
        <f t="shared" si="61"/>
        <v>5.7119999999999997</v>
      </c>
      <c r="F241" s="11">
        <f t="shared" si="62"/>
        <v>28</v>
      </c>
      <c r="G241" s="11"/>
      <c r="H241" s="14" t="s">
        <v>246</v>
      </c>
    </row>
    <row r="242" spans="2:8" ht="63.75" x14ac:dyDescent="0.2">
      <c r="B242" s="9">
        <v>240</v>
      </c>
      <c r="C242" s="13" t="s">
        <v>242</v>
      </c>
      <c r="D242" s="11">
        <f t="shared" si="60"/>
        <v>10.862696</v>
      </c>
      <c r="E242" s="11">
        <f t="shared" si="61"/>
        <v>5.7119999999999997</v>
      </c>
      <c r="F242" s="11">
        <f t="shared" si="62"/>
        <v>28</v>
      </c>
      <c r="G242" s="11"/>
      <c r="H242" s="14" t="s">
        <v>247</v>
      </c>
    </row>
    <row r="243" spans="2:8" ht="63.75" x14ac:dyDescent="0.2">
      <c r="B243" s="9">
        <v>241</v>
      </c>
      <c r="C243" s="13" t="s">
        <v>248</v>
      </c>
      <c r="D243" s="11">
        <f t="shared" si="60"/>
        <v>11.024456000000001</v>
      </c>
      <c r="E243" s="11">
        <f t="shared" si="61"/>
        <v>5.7119999999999997</v>
      </c>
      <c r="F243" s="11">
        <f t="shared" si="62"/>
        <v>28</v>
      </c>
      <c r="G243" s="11"/>
      <c r="H243" s="14" t="s">
        <v>249</v>
      </c>
    </row>
    <row r="244" spans="2:8" ht="63.75" x14ac:dyDescent="0.2">
      <c r="B244" s="9">
        <v>242</v>
      </c>
      <c r="C244" s="13" t="s">
        <v>248</v>
      </c>
      <c r="D244" s="11">
        <f t="shared" si="60"/>
        <v>11.024456000000001</v>
      </c>
      <c r="E244" s="11">
        <f t="shared" si="61"/>
        <v>5.7119999999999997</v>
      </c>
      <c r="F244" s="11">
        <f t="shared" si="62"/>
        <v>28</v>
      </c>
      <c r="G244" s="11"/>
      <c r="H244" s="14" t="s">
        <v>250</v>
      </c>
    </row>
    <row r="245" spans="2:8" ht="63.75" x14ac:dyDescent="0.2">
      <c r="B245" s="9">
        <v>243</v>
      </c>
      <c r="C245" s="13" t="s">
        <v>248</v>
      </c>
      <c r="D245" s="11">
        <f t="shared" si="60"/>
        <v>11.024456000000001</v>
      </c>
      <c r="E245" s="11">
        <f t="shared" si="61"/>
        <v>5.7119999999999997</v>
      </c>
      <c r="F245" s="11">
        <f t="shared" si="62"/>
        <v>28</v>
      </c>
      <c r="G245" s="11"/>
      <c r="H245" s="14" t="s">
        <v>251</v>
      </c>
    </row>
    <row r="246" spans="2:8" ht="63.75" x14ac:dyDescent="0.2">
      <c r="B246" s="9">
        <v>244</v>
      </c>
      <c r="C246" s="13" t="s">
        <v>248</v>
      </c>
      <c r="D246" s="11">
        <f t="shared" si="60"/>
        <v>11.024456000000001</v>
      </c>
      <c r="E246" s="11">
        <f t="shared" si="61"/>
        <v>5.7119999999999997</v>
      </c>
      <c r="F246" s="11">
        <f t="shared" si="62"/>
        <v>28</v>
      </c>
      <c r="G246" s="11"/>
      <c r="H246" s="14" t="s">
        <v>252</v>
      </c>
    </row>
    <row r="247" spans="2:8" ht="63.75" x14ac:dyDescent="0.2">
      <c r="B247" s="9">
        <v>245</v>
      </c>
      <c r="C247" s="13" t="s">
        <v>248</v>
      </c>
      <c r="D247" s="11">
        <f t="shared" si="60"/>
        <v>11.024456000000001</v>
      </c>
      <c r="E247" s="11">
        <f t="shared" si="61"/>
        <v>5.7119999999999997</v>
      </c>
      <c r="F247" s="11">
        <f t="shared" si="62"/>
        <v>28</v>
      </c>
      <c r="G247" s="11"/>
      <c r="H247" s="14" t="s">
        <v>253</v>
      </c>
    </row>
    <row r="248" spans="2:8" ht="63.75" x14ac:dyDescent="0.2">
      <c r="B248" s="9">
        <v>246</v>
      </c>
      <c r="C248" s="13" t="s">
        <v>248</v>
      </c>
      <c r="D248" s="11">
        <f t="shared" si="60"/>
        <v>11.024456000000001</v>
      </c>
      <c r="E248" s="11">
        <f t="shared" si="61"/>
        <v>5.7119999999999997</v>
      </c>
      <c r="F248" s="11">
        <f t="shared" si="62"/>
        <v>28</v>
      </c>
      <c r="G248" s="11"/>
      <c r="H248" s="14" t="s">
        <v>254</v>
      </c>
    </row>
    <row r="249" spans="2:8" ht="63.75" x14ac:dyDescent="0.2">
      <c r="B249" s="9">
        <v>247</v>
      </c>
      <c r="C249" s="13" t="s">
        <v>255</v>
      </c>
      <c r="D249" s="11">
        <f t="shared" si="60"/>
        <v>11.499016000000001</v>
      </c>
      <c r="E249" s="11">
        <f t="shared" si="61"/>
        <v>5.7119999999999997</v>
      </c>
      <c r="F249" s="11">
        <f t="shared" si="62"/>
        <v>28</v>
      </c>
      <c r="G249" s="11"/>
      <c r="H249" s="14" t="s">
        <v>256</v>
      </c>
    </row>
    <row r="250" spans="2:8" ht="63.75" x14ac:dyDescent="0.2">
      <c r="B250" s="9">
        <v>248</v>
      </c>
      <c r="C250" s="13" t="s">
        <v>255</v>
      </c>
      <c r="D250" s="11">
        <f t="shared" si="60"/>
        <v>11.499016000000001</v>
      </c>
      <c r="E250" s="11">
        <f t="shared" si="61"/>
        <v>5.7119999999999997</v>
      </c>
      <c r="F250" s="11">
        <f t="shared" si="62"/>
        <v>28</v>
      </c>
      <c r="G250" s="11"/>
      <c r="H250" s="14" t="s">
        <v>257</v>
      </c>
    </row>
    <row r="251" spans="2:8" ht="63.75" x14ac:dyDescent="0.2">
      <c r="B251" s="9">
        <v>249</v>
      </c>
      <c r="C251" s="13" t="s">
        <v>255</v>
      </c>
      <c r="D251" s="11">
        <f t="shared" si="60"/>
        <v>11.499016000000001</v>
      </c>
      <c r="E251" s="11">
        <f t="shared" si="61"/>
        <v>5.7119999999999997</v>
      </c>
      <c r="F251" s="11">
        <f t="shared" si="62"/>
        <v>28</v>
      </c>
      <c r="G251" s="11"/>
      <c r="H251" s="14" t="s">
        <v>258</v>
      </c>
    </row>
    <row r="252" spans="2:8" ht="63.75" x14ac:dyDescent="0.2">
      <c r="B252" s="9">
        <v>250</v>
      </c>
      <c r="C252" s="13" t="s">
        <v>255</v>
      </c>
      <c r="D252" s="11">
        <f t="shared" si="60"/>
        <v>11.499016000000001</v>
      </c>
      <c r="E252" s="11">
        <f t="shared" si="61"/>
        <v>5.7119999999999997</v>
      </c>
      <c r="F252" s="11">
        <f t="shared" si="62"/>
        <v>28</v>
      </c>
      <c r="G252" s="11"/>
      <c r="H252" s="14" t="s">
        <v>259</v>
      </c>
    </row>
    <row r="253" spans="2:8" ht="63.75" x14ac:dyDescent="0.2">
      <c r="B253" s="9">
        <v>251</v>
      </c>
      <c r="C253" s="13" t="s">
        <v>255</v>
      </c>
      <c r="D253" s="11">
        <f t="shared" si="60"/>
        <v>11.499016000000001</v>
      </c>
      <c r="E253" s="11">
        <f t="shared" si="61"/>
        <v>5.7119999999999997</v>
      </c>
      <c r="F253" s="11">
        <f t="shared" si="62"/>
        <v>28</v>
      </c>
      <c r="G253" s="11"/>
      <c r="H253" s="14" t="s">
        <v>260</v>
      </c>
    </row>
    <row r="254" spans="2:8" ht="63.75" x14ac:dyDescent="0.2">
      <c r="B254" s="9">
        <v>252</v>
      </c>
      <c r="C254" s="13" t="s">
        <v>255</v>
      </c>
      <c r="D254" s="11">
        <f t="shared" si="60"/>
        <v>11.499016000000001</v>
      </c>
      <c r="E254" s="11">
        <f t="shared" si="61"/>
        <v>5.7119999999999997</v>
      </c>
      <c r="F254" s="11">
        <f t="shared" si="62"/>
        <v>28</v>
      </c>
      <c r="G254" s="11"/>
      <c r="H254" s="14" t="s">
        <v>261</v>
      </c>
    </row>
    <row r="255" spans="2:8" ht="63.75" x14ac:dyDescent="0.2">
      <c r="B255" s="9">
        <v>253</v>
      </c>
      <c r="C255" s="13" t="s">
        <v>262</v>
      </c>
      <c r="D255" s="11">
        <f t="shared" si="60"/>
        <v>11.454376</v>
      </c>
      <c r="E255" s="11">
        <f t="shared" si="61"/>
        <v>5.7119999999999997</v>
      </c>
      <c r="F255" s="11">
        <f t="shared" si="62"/>
        <v>28</v>
      </c>
      <c r="G255" s="11"/>
      <c r="H255" s="14" t="s">
        <v>263</v>
      </c>
    </row>
    <row r="256" spans="2:8" ht="63.75" x14ac:dyDescent="0.2">
      <c r="B256" s="9">
        <v>254</v>
      </c>
      <c r="C256" s="13" t="s">
        <v>262</v>
      </c>
      <c r="D256" s="11">
        <f t="shared" si="60"/>
        <v>11.454376</v>
      </c>
      <c r="E256" s="11">
        <f t="shared" si="61"/>
        <v>5.7119999999999997</v>
      </c>
      <c r="F256" s="11">
        <f t="shared" si="62"/>
        <v>28</v>
      </c>
      <c r="G256" s="11"/>
      <c r="H256" s="14" t="s">
        <v>264</v>
      </c>
    </row>
    <row r="257" spans="2:8" ht="63.75" x14ac:dyDescent="0.2">
      <c r="B257" s="9">
        <v>255</v>
      </c>
      <c r="C257" s="13" t="s">
        <v>262</v>
      </c>
      <c r="D257" s="11">
        <f t="shared" si="60"/>
        <v>11.454376</v>
      </c>
      <c r="E257" s="11">
        <f t="shared" si="61"/>
        <v>5.7119999999999997</v>
      </c>
      <c r="F257" s="11">
        <f t="shared" si="62"/>
        <v>28</v>
      </c>
      <c r="G257" s="11"/>
      <c r="H257" s="14" t="s">
        <v>265</v>
      </c>
    </row>
    <row r="258" spans="2:8" ht="63.75" x14ac:dyDescent="0.2">
      <c r="B258" s="9">
        <v>256</v>
      </c>
      <c r="C258" s="13" t="s">
        <v>262</v>
      </c>
      <c r="D258" s="11">
        <f t="shared" si="60"/>
        <v>11.454376</v>
      </c>
      <c r="E258" s="11">
        <f t="shared" si="61"/>
        <v>5.7119999999999997</v>
      </c>
      <c r="F258" s="11">
        <f t="shared" si="62"/>
        <v>28</v>
      </c>
      <c r="G258" s="11"/>
      <c r="H258" s="14" t="s">
        <v>266</v>
      </c>
    </row>
    <row r="259" spans="2:8" ht="63.75" x14ac:dyDescent="0.2">
      <c r="B259" s="9">
        <v>257</v>
      </c>
      <c r="C259" s="13" t="s">
        <v>262</v>
      </c>
      <c r="D259" s="11">
        <f t="shared" si="60"/>
        <v>11.454376</v>
      </c>
      <c r="E259" s="11">
        <f t="shared" si="61"/>
        <v>5.7119999999999997</v>
      </c>
      <c r="F259" s="11">
        <f t="shared" si="62"/>
        <v>28</v>
      </c>
      <c r="G259" s="11"/>
      <c r="H259" s="14" t="s">
        <v>267</v>
      </c>
    </row>
    <row r="260" spans="2:8" ht="63.75" x14ac:dyDescent="0.2">
      <c r="B260" s="9">
        <v>258</v>
      </c>
      <c r="C260" s="13" t="s">
        <v>262</v>
      </c>
      <c r="D260" s="11">
        <f t="shared" si="60"/>
        <v>11.454376</v>
      </c>
      <c r="E260" s="11">
        <f t="shared" si="61"/>
        <v>5.7119999999999997</v>
      </c>
      <c r="F260" s="11">
        <f t="shared" si="62"/>
        <v>28</v>
      </c>
      <c r="G260" s="11"/>
      <c r="H260" s="14" t="s">
        <v>268</v>
      </c>
    </row>
    <row r="261" spans="2:8" ht="63.75" x14ac:dyDescent="0.2">
      <c r="B261" s="9">
        <v>259</v>
      </c>
      <c r="C261" s="13" t="s">
        <v>269</v>
      </c>
      <c r="D261" s="11">
        <f>$D$56+$D$56+$D$56+$D$56+D45</f>
        <v>11.833568</v>
      </c>
      <c r="E261" s="11">
        <f>$E$56+$E$56+$E$56+$E$56+E45</f>
        <v>5.8940000000000001</v>
      </c>
      <c r="F261" s="10">
        <f>4.7+6.2+6.2+6.2+6.2</f>
        <v>29.5</v>
      </c>
      <c r="G261" s="10"/>
      <c r="H261" s="14" t="s">
        <v>270</v>
      </c>
    </row>
    <row r="262" spans="2:8" ht="63.75" x14ac:dyDescent="0.2">
      <c r="B262" s="9">
        <v>260</v>
      </c>
      <c r="C262" s="13" t="s">
        <v>269</v>
      </c>
      <c r="D262" s="11">
        <f t="shared" ref="D262:D272" si="63">$D$56+$D$56+$D$56+$D$56+D46</f>
        <v>11.833568</v>
      </c>
      <c r="E262" s="11">
        <f t="shared" ref="E262:E272" si="64">$E$56+$E$56+$E$56+$E$56+E46</f>
        <v>5.8940000000000001</v>
      </c>
      <c r="F262" s="10">
        <f t="shared" ref="F262:F266" si="65">4.7+6.2+6.2+6.2+6.2</f>
        <v>29.5</v>
      </c>
      <c r="G262" s="10"/>
      <c r="H262" s="14" t="s">
        <v>271</v>
      </c>
    </row>
    <row r="263" spans="2:8" ht="63.75" x14ac:dyDescent="0.2">
      <c r="B263" s="9">
        <v>261</v>
      </c>
      <c r="C263" s="13" t="s">
        <v>269</v>
      </c>
      <c r="D263" s="11">
        <f t="shared" si="63"/>
        <v>11.833568</v>
      </c>
      <c r="E263" s="11">
        <f t="shared" si="64"/>
        <v>5.8940000000000001</v>
      </c>
      <c r="F263" s="10">
        <f t="shared" si="65"/>
        <v>29.5</v>
      </c>
      <c r="G263" s="10"/>
      <c r="H263" s="14" t="s">
        <v>272</v>
      </c>
    </row>
    <row r="264" spans="2:8" ht="63.75" x14ac:dyDescent="0.2">
      <c r="B264" s="9">
        <v>262</v>
      </c>
      <c r="C264" s="13" t="s">
        <v>269</v>
      </c>
      <c r="D264" s="11">
        <f t="shared" si="63"/>
        <v>11.833568</v>
      </c>
      <c r="E264" s="11">
        <f t="shared" si="64"/>
        <v>5.8940000000000001</v>
      </c>
      <c r="F264" s="10">
        <f t="shared" si="65"/>
        <v>29.5</v>
      </c>
      <c r="G264" s="10"/>
      <c r="H264" s="14" t="s">
        <v>273</v>
      </c>
    </row>
    <row r="265" spans="2:8" ht="63.75" x14ac:dyDescent="0.2">
      <c r="B265" s="9">
        <v>263</v>
      </c>
      <c r="C265" s="13" t="s">
        <v>269</v>
      </c>
      <c r="D265" s="11">
        <f t="shared" si="63"/>
        <v>11.833568</v>
      </c>
      <c r="E265" s="11">
        <f t="shared" si="64"/>
        <v>5.8940000000000001</v>
      </c>
      <c r="F265" s="10">
        <f t="shared" si="65"/>
        <v>29.5</v>
      </c>
      <c r="G265" s="10"/>
      <c r="H265" s="14" t="s">
        <v>274</v>
      </c>
    </row>
    <row r="266" spans="2:8" ht="63.75" x14ac:dyDescent="0.2">
      <c r="B266" s="9">
        <v>264</v>
      </c>
      <c r="C266" s="13" t="s">
        <v>269</v>
      </c>
      <c r="D266" s="11">
        <f t="shared" si="63"/>
        <v>11.833568</v>
      </c>
      <c r="E266" s="11">
        <f t="shared" si="64"/>
        <v>5.8940000000000001</v>
      </c>
      <c r="F266" s="10">
        <f t="shared" si="65"/>
        <v>29.5</v>
      </c>
      <c r="G266" s="10"/>
      <c r="H266" s="14" t="s">
        <v>275</v>
      </c>
    </row>
    <row r="267" spans="2:8" ht="63.75" x14ac:dyDescent="0.2">
      <c r="B267" s="9">
        <v>265</v>
      </c>
      <c r="C267" s="13" t="s">
        <v>276</v>
      </c>
      <c r="D267" s="11">
        <f t="shared" si="63"/>
        <v>12.212759999999999</v>
      </c>
      <c r="E267" s="11">
        <f t="shared" si="64"/>
        <v>6.0760000000000005</v>
      </c>
      <c r="F267" s="10">
        <f>6.2+6.2+6.2+6.2+6.2</f>
        <v>31</v>
      </c>
      <c r="G267" s="10"/>
      <c r="H267" s="14" t="s">
        <v>277</v>
      </c>
    </row>
    <row r="268" spans="2:8" ht="63.75" x14ac:dyDescent="0.2">
      <c r="B268" s="9">
        <v>266</v>
      </c>
      <c r="C268" s="13" t="s">
        <v>276</v>
      </c>
      <c r="D268" s="11">
        <f t="shared" si="63"/>
        <v>12.212759999999999</v>
      </c>
      <c r="E268" s="11">
        <f t="shared" si="64"/>
        <v>6.0760000000000005</v>
      </c>
      <c r="F268" s="10">
        <f t="shared" ref="F268:F272" si="66">6.2+6.2+6.2+6.2+6.2</f>
        <v>31</v>
      </c>
      <c r="G268" s="10"/>
      <c r="H268" s="14" t="s">
        <v>278</v>
      </c>
    </row>
    <row r="269" spans="2:8" ht="63.75" x14ac:dyDescent="0.2">
      <c r="B269" s="9">
        <v>267</v>
      </c>
      <c r="C269" s="13" t="s">
        <v>276</v>
      </c>
      <c r="D269" s="11">
        <f t="shared" si="63"/>
        <v>12.212759999999999</v>
      </c>
      <c r="E269" s="11">
        <f t="shared" si="64"/>
        <v>6.0760000000000005</v>
      </c>
      <c r="F269" s="10">
        <f t="shared" si="66"/>
        <v>31</v>
      </c>
      <c r="G269" s="10"/>
      <c r="H269" s="14" t="s">
        <v>279</v>
      </c>
    </row>
    <row r="270" spans="2:8" ht="63.75" x14ac:dyDescent="0.2">
      <c r="B270" s="9">
        <v>268</v>
      </c>
      <c r="C270" s="13" t="s">
        <v>276</v>
      </c>
      <c r="D270" s="11">
        <f t="shared" si="63"/>
        <v>12.212759999999999</v>
      </c>
      <c r="E270" s="11">
        <f t="shared" si="64"/>
        <v>6.0760000000000005</v>
      </c>
      <c r="F270" s="10">
        <f t="shared" si="66"/>
        <v>31</v>
      </c>
      <c r="G270" s="10"/>
      <c r="H270" s="14" t="s">
        <v>280</v>
      </c>
    </row>
    <row r="271" spans="2:8" ht="63.75" x14ac:dyDescent="0.2">
      <c r="B271" s="9">
        <v>269</v>
      </c>
      <c r="C271" s="13" t="s">
        <v>276</v>
      </c>
      <c r="D271" s="11">
        <f t="shared" si="63"/>
        <v>12.212759999999999</v>
      </c>
      <c r="E271" s="11">
        <f t="shared" si="64"/>
        <v>6.0760000000000005</v>
      </c>
      <c r="F271" s="10">
        <f t="shared" si="66"/>
        <v>31</v>
      </c>
      <c r="G271" s="10"/>
      <c r="H271" s="14" t="s">
        <v>281</v>
      </c>
    </row>
    <row r="272" spans="2:8" ht="63.75" x14ac:dyDescent="0.2">
      <c r="B272" s="9">
        <v>270</v>
      </c>
      <c r="C272" s="13" t="s">
        <v>276</v>
      </c>
      <c r="D272" s="11">
        <f t="shared" si="63"/>
        <v>12.212759999999999</v>
      </c>
      <c r="E272" s="11">
        <f t="shared" si="64"/>
        <v>6.0760000000000005</v>
      </c>
      <c r="F272" s="10">
        <f t="shared" si="66"/>
        <v>31</v>
      </c>
      <c r="G272" s="10"/>
      <c r="H272" s="14" t="s">
        <v>282</v>
      </c>
    </row>
    <row r="273" spans="2:8" ht="76.5" x14ac:dyDescent="0.2">
      <c r="B273" s="9">
        <v>271</v>
      </c>
      <c r="C273" s="13" t="s">
        <v>283</v>
      </c>
      <c r="D273" s="11">
        <f>$D$56+$D$56+$D$56+$D$56+$D$50+D9</f>
        <v>12.38419</v>
      </c>
      <c r="E273" s="11">
        <f>$E$56+$E$56+$E$56++$E$56+$E$50+E9</f>
        <v>6.4085999999999999</v>
      </c>
      <c r="F273" s="15">
        <f>3.3+4.7+6.2+6.2+6.2+6.2</f>
        <v>32.799999999999997</v>
      </c>
      <c r="G273" s="15"/>
      <c r="H273" s="14" t="s">
        <v>284</v>
      </c>
    </row>
    <row r="274" spans="2:8" ht="76.5" x14ac:dyDescent="0.2">
      <c r="B274" s="9">
        <v>272</v>
      </c>
      <c r="C274" s="13" t="s">
        <v>283</v>
      </c>
      <c r="D274" s="11">
        <f t="shared" ref="D274:D286" si="67">$D$56+$D$56+$D$56+$D$56+$D$50+D10</f>
        <v>12.38419</v>
      </c>
      <c r="E274" s="11">
        <f t="shared" ref="E274:E286" si="68">$E$56+$E$56+$E$56++$E$56+$E$50+E10</f>
        <v>6.4085999999999999</v>
      </c>
      <c r="F274" s="15">
        <f t="shared" ref="F274:F286" si="69">3.3+4.7+6.2+6.2+6.2+6.2</f>
        <v>32.799999999999997</v>
      </c>
      <c r="G274" s="15"/>
      <c r="H274" s="14" t="s">
        <v>285</v>
      </c>
    </row>
    <row r="275" spans="2:8" ht="76.5" x14ac:dyDescent="0.2">
      <c r="B275" s="9">
        <v>273</v>
      </c>
      <c r="C275" s="13" t="s">
        <v>286</v>
      </c>
      <c r="D275" s="11">
        <f t="shared" si="67"/>
        <v>12.543716</v>
      </c>
      <c r="E275" s="11">
        <f t="shared" si="68"/>
        <v>6.4085999999999999</v>
      </c>
      <c r="F275" s="15">
        <f t="shared" si="69"/>
        <v>32.799999999999997</v>
      </c>
      <c r="G275" s="15"/>
      <c r="H275" s="14" t="s">
        <v>287</v>
      </c>
    </row>
    <row r="276" spans="2:8" ht="76.5" x14ac:dyDescent="0.2">
      <c r="B276" s="9">
        <v>274</v>
      </c>
      <c r="C276" s="13" t="s">
        <v>286</v>
      </c>
      <c r="D276" s="11">
        <f t="shared" si="67"/>
        <v>12.543716</v>
      </c>
      <c r="E276" s="11">
        <f t="shared" si="68"/>
        <v>6.4085999999999999</v>
      </c>
      <c r="F276" s="15">
        <f t="shared" si="69"/>
        <v>32.799999999999997</v>
      </c>
      <c r="G276" s="15"/>
      <c r="H276" s="14" t="s">
        <v>288</v>
      </c>
    </row>
    <row r="277" spans="2:8" ht="76.5" x14ac:dyDescent="0.2">
      <c r="B277" s="9">
        <v>275</v>
      </c>
      <c r="C277" s="13" t="s">
        <v>286</v>
      </c>
      <c r="D277" s="11">
        <f t="shared" si="67"/>
        <v>12.543716</v>
      </c>
      <c r="E277" s="11">
        <f t="shared" si="68"/>
        <v>6.4085999999999999</v>
      </c>
      <c r="F277" s="15">
        <f t="shared" si="69"/>
        <v>32.799999999999997</v>
      </c>
      <c r="G277" s="15"/>
      <c r="H277" s="14" t="s">
        <v>289</v>
      </c>
    </row>
    <row r="278" spans="2:8" ht="76.5" x14ac:dyDescent="0.2">
      <c r="B278" s="9">
        <v>276</v>
      </c>
      <c r="C278" s="13" t="s">
        <v>286</v>
      </c>
      <c r="D278" s="11">
        <f t="shared" si="67"/>
        <v>12.543716</v>
      </c>
      <c r="E278" s="11">
        <f t="shared" si="68"/>
        <v>6.4085999999999999</v>
      </c>
      <c r="F278" s="15">
        <f t="shared" si="69"/>
        <v>32.799999999999997</v>
      </c>
      <c r="G278" s="15"/>
      <c r="H278" s="14" t="s">
        <v>290</v>
      </c>
    </row>
    <row r="279" spans="2:8" ht="76.5" x14ac:dyDescent="0.2">
      <c r="B279" s="9">
        <v>277</v>
      </c>
      <c r="C279" s="13" t="s">
        <v>291</v>
      </c>
      <c r="D279" s="11">
        <f t="shared" si="67"/>
        <v>12.672428</v>
      </c>
      <c r="E279" s="11">
        <f t="shared" si="68"/>
        <v>6.4085999999999999</v>
      </c>
      <c r="F279" s="15">
        <f t="shared" si="69"/>
        <v>32.799999999999997</v>
      </c>
      <c r="G279" s="15"/>
      <c r="H279" s="14" t="s">
        <v>292</v>
      </c>
    </row>
    <row r="280" spans="2:8" ht="76.5" x14ac:dyDescent="0.2">
      <c r="B280" s="9">
        <v>278</v>
      </c>
      <c r="C280" s="13" t="s">
        <v>291</v>
      </c>
      <c r="D280" s="11">
        <f t="shared" si="67"/>
        <v>12.672428</v>
      </c>
      <c r="E280" s="11">
        <f t="shared" si="68"/>
        <v>6.4085999999999999</v>
      </c>
      <c r="F280" s="15">
        <f t="shared" si="69"/>
        <v>32.799999999999997</v>
      </c>
      <c r="G280" s="15"/>
      <c r="H280" s="14" t="s">
        <v>293</v>
      </c>
    </row>
    <row r="281" spans="2:8" ht="76.5" x14ac:dyDescent="0.2">
      <c r="B281" s="9">
        <v>279</v>
      </c>
      <c r="C281" s="13" t="s">
        <v>291</v>
      </c>
      <c r="D281" s="11">
        <f t="shared" si="67"/>
        <v>12.672428</v>
      </c>
      <c r="E281" s="11">
        <f t="shared" si="68"/>
        <v>6.4085999999999999</v>
      </c>
      <c r="F281" s="15">
        <f t="shared" si="69"/>
        <v>32.799999999999997</v>
      </c>
      <c r="G281" s="15"/>
      <c r="H281" s="14" t="s">
        <v>294</v>
      </c>
    </row>
    <row r="282" spans="2:8" ht="76.5" x14ac:dyDescent="0.2">
      <c r="B282" s="9">
        <v>280</v>
      </c>
      <c r="C282" s="13" t="s">
        <v>291</v>
      </c>
      <c r="D282" s="11">
        <f t="shared" si="67"/>
        <v>12.672428</v>
      </c>
      <c r="E282" s="11">
        <f t="shared" si="68"/>
        <v>6.4085999999999999</v>
      </c>
      <c r="F282" s="15">
        <f t="shared" si="69"/>
        <v>32.799999999999997</v>
      </c>
      <c r="G282" s="15"/>
      <c r="H282" s="14" t="s">
        <v>295</v>
      </c>
    </row>
    <row r="283" spans="2:8" ht="76.5" x14ac:dyDescent="0.2">
      <c r="B283" s="9">
        <v>281</v>
      </c>
      <c r="C283" s="13" t="s">
        <v>296</v>
      </c>
      <c r="D283" s="11">
        <f t="shared" si="67"/>
        <v>12.727967999999999</v>
      </c>
      <c r="E283" s="11">
        <f t="shared" si="68"/>
        <v>6.4085999999999999</v>
      </c>
      <c r="F283" s="15">
        <f t="shared" si="69"/>
        <v>32.799999999999997</v>
      </c>
      <c r="G283" s="15"/>
      <c r="H283" s="14" t="s">
        <v>297</v>
      </c>
    </row>
    <row r="284" spans="2:8" ht="76.5" x14ac:dyDescent="0.2">
      <c r="B284" s="9">
        <v>282</v>
      </c>
      <c r="C284" s="13" t="s">
        <v>296</v>
      </c>
      <c r="D284" s="11">
        <f t="shared" si="67"/>
        <v>12.727967999999999</v>
      </c>
      <c r="E284" s="11">
        <f t="shared" si="68"/>
        <v>6.4085999999999999</v>
      </c>
      <c r="F284" s="15">
        <f t="shared" si="69"/>
        <v>32.799999999999997</v>
      </c>
      <c r="G284" s="15"/>
      <c r="H284" s="14" t="s">
        <v>298</v>
      </c>
    </row>
    <row r="285" spans="2:8" ht="76.5" x14ac:dyDescent="0.2">
      <c r="B285" s="9">
        <v>283</v>
      </c>
      <c r="C285" s="13" t="s">
        <v>296</v>
      </c>
      <c r="D285" s="11">
        <f t="shared" si="67"/>
        <v>12.727967999999999</v>
      </c>
      <c r="E285" s="11">
        <f t="shared" si="68"/>
        <v>6.4085999999999999</v>
      </c>
      <c r="F285" s="15">
        <f t="shared" si="69"/>
        <v>32.799999999999997</v>
      </c>
      <c r="G285" s="15"/>
      <c r="H285" s="14" t="s">
        <v>299</v>
      </c>
    </row>
    <row r="286" spans="2:8" ht="76.5" x14ac:dyDescent="0.2">
      <c r="B286" s="9">
        <v>284</v>
      </c>
      <c r="C286" s="13" t="s">
        <v>296</v>
      </c>
      <c r="D286" s="11">
        <f t="shared" si="67"/>
        <v>12.727967999999999</v>
      </c>
      <c r="E286" s="11">
        <f t="shared" si="68"/>
        <v>6.4085999999999999</v>
      </c>
      <c r="F286" s="15">
        <f t="shared" si="69"/>
        <v>32.799999999999997</v>
      </c>
      <c r="G286" s="15"/>
      <c r="H286" s="14" t="s">
        <v>300</v>
      </c>
    </row>
    <row r="287" spans="2:8" ht="76.5" x14ac:dyDescent="0.2">
      <c r="B287" s="9">
        <v>285</v>
      </c>
      <c r="C287" s="13" t="s">
        <v>301</v>
      </c>
      <c r="D287" s="11">
        <f>$D$56+$D$56+$D$56+$D$56+$D$50+D17</f>
        <v>12.672428</v>
      </c>
      <c r="E287" s="11">
        <f>$E$56+$E$56+$E$56++$E$56+$E$50+E17</f>
        <v>6.4085999999999999</v>
      </c>
      <c r="F287" s="15">
        <f>4.7+4.7+6.2+6.2+6.2+6.2</f>
        <v>34.200000000000003</v>
      </c>
      <c r="G287" s="15"/>
      <c r="H287" s="14" t="s">
        <v>302</v>
      </c>
    </row>
    <row r="288" spans="2:8" ht="76.5" x14ac:dyDescent="0.2">
      <c r="B288" s="9">
        <v>286</v>
      </c>
      <c r="C288" s="13" t="s">
        <v>301</v>
      </c>
      <c r="D288" s="11">
        <f t="shared" ref="D288:D292" si="70">$D$56+$D$56+$D$56+$D$56+$D$50+D18</f>
        <v>12.672428</v>
      </c>
      <c r="E288" s="11">
        <f t="shared" ref="E288:E292" si="71">$E$56+$E$56+$E$56++$E$56+$E$50+E18</f>
        <v>6.4085999999999999</v>
      </c>
      <c r="F288" s="15">
        <f t="shared" ref="F288:F314" si="72">4.7+4.7+6.2+6.2+6.2+6.2</f>
        <v>34.200000000000003</v>
      </c>
      <c r="G288" s="15"/>
      <c r="H288" s="14" t="s">
        <v>303</v>
      </c>
    </row>
    <row r="289" spans="2:8" ht="76.5" x14ac:dyDescent="0.2">
      <c r="B289" s="9">
        <v>287</v>
      </c>
      <c r="C289" s="13" t="s">
        <v>304</v>
      </c>
      <c r="D289" s="11">
        <f t="shared" si="70"/>
        <v>12.727967999999999</v>
      </c>
      <c r="E289" s="11">
        <f t="shared" si="71"/>
        <v>6.4085999999999999</v>
      </c>
      <c r="F289" s="15">
        <f t="shared" si="72"/>
        <v>34.200000000000003</v>
      </c>
      <c r="G289" s="15"/>
      <c r="H289" s="14" t="s">
        <v>305</v>
      </c>
    </row>
    <row r="290" spans="2:8" ht="76.5" x14ac:dyDescent="0.2">
      <c r="B290" s="9">
        <v>288</v>
      </c>
      <c r="C290" s="13" t="s">
        <v>304</v>
      </c>
      <c r="D290" s="11">
        <f t="shared" si="70"/>
        <v>12.727967999999999</v>
      </c>
      <c r="E290" s="11">
        <f t="shared" si="71"/>
        <v>6.4085999999999999</v>
      </c>
      <c r="F290" s="15">
        <f t="shared" si="72"/>
        <v>34.200000000000003</v>
      </c>
      <c r="G290" s="15"/>
      <c r="H290" s="14" t="s">
        <v>306</v>
      </c>
    </row>
    <row r="291" spans="2:8" ht="76.5" x14ac:dyDescent="0.2">
      <c r="B291" s="9">
        <v>289</v>
      </c>
      <c r="C291" s="13" t="s">
        <v>304</v>
      </c>
      <c r="D291" s="11">
        <f t="shared" si="70"/>
        <v>12.727967999999999</v>
      </c>
      <c r="E291" s="11">
        <f t="shared" si="71"/>
        <v>6.4085999999999999</v>
      </c>
      <c r="F291" s="15">
        <f t="shared" si="72"/>
        <v>34.200000000000003</v>
      </c>
      <c r="G291" s="15"/>
      <c r="H291" s="14" t="s">
        <v>307</v>
      </c>
    </row>
    <row r="292" spans="2:8" ht="76.5" x14ac:dyDescent="0.2">
      <c r="B292" s="9">
        <v>290</v>
      </c>
      <c r="C292" s="13" t="s">
        <v>304</v>
      </c>
      <c r="D292" s="11">
        <f t="shared" si="70"/>
        <v>12.727967999999999</v>
      </c>
      <c r="E292" s="11">
        <f t="shared" si="71"/>
        <v>6.4085999999999999</v>
      </c>
      <c r="F292" s="15">
        <f t="shared" si="72"/>
        <v>34.200000000000003</v>
      </c>
      <c r="G292" s="15"/>
      <c r="H292" s="14" t="s">
        <v>308</v>
      </c>
    </row>
    <row r="293" spans="2:8" ht="76.5" x14ac:dyDescent="0.2">
      <c r="B293" s="9">
        <v>291</v>
      </c>
      <c r="C293" s="13" t="s">
        <v>309</v>
      </c>
      <c r="D293" s="11">
        <f>$D$56+$D$56+$D$56+$D$56+$D$50+D29</f>
        <v>13.305247999999999</v>
      </c>
      <c r="E293" s="11">
        <f>$E$56+$E$56+$E$56++$E$56+$E$50+E29</f>
        <v>6.9272</v>
      </c>
      <c r="F293" s="15">
        <f t="shared" si="72"/>
        <v>34.200000000000003</v>
      </c>
      <c r="G293" s="15"/>
      <c r="H293" s="14" t="s">
        <v>310</v>
      </c>
    </row>
    <row r="294" spans="2:8" ht="76.5" x14ac:dyDescent="0.2">
      <c r="B294" s="9">
        <v>292</v>
      </c>
      <c r="C294" s="13" t="s">
        <v>309</v>
      </c>
      <c r="D294" s="11">
        <f t="shared" ref="D294:D314" si="73">$D$56+$D$56+$D$56+$D$56+$D$50+D30</f>
        <v>13.305247999999999</v>
      </c>
      <c r="E294" s="11">
        <f t="shared" ref="E294:E314" si="74">$E$56+$E$56+$E$56++$E$56+$E$50+E30</f>
        <v>6.9272</v>
      </c>
      <c r="F294" s="15">
        <f t="shared" si="72"/>
        <v>34.200000000000003</v>
      </c>
      <c r="G294" s="15"/>
      <c r="H294" s="14" t="s">
        <v>311</v>
      </c>
    </row>
    <row r="295" spans="2:8" ht="76.5" x14ac:dyDescent="0.2">
      <c r="B295" s="9">
        <v>293</v>
      </c>
      <c r="C295" s="13" t="s">
        <v>309</v>
      </c>
      <c r="D295" s="11">
        <f t="shared" si="73"/>
        <v>13.305247999999999</v>
      </c>
      <c r="E295" s="11">
        <f t="shared" si="74"/>
        <v>6.9272</v>
      </c>
      <c r="F295" s="15">
        <f t="shared" si="72"/>
        <v>34.200000000000003</v>
      </c>
      <c r="G295" s="15"/>
      <c r="H295" s="14" t="s">
        <v>312</v>
      </c>
    </row>
    <row r="296" spans="2:8" ht="76.5" x14ac:dyDescent="0.2">
      <c r="B296" s="9">
        <v>294</v>
      </c>
      <c r="C296" s="13" t="s">
        <v>309</v>
      </c>
      <c r="D296" s="11">
        <f t="shared" si="73"/>
        <v>13.305247999999999</v>
      </c>
      <c r="E296" s="11">
        <f t="shared" si="74"/>
        <v>6.9272</v>
      </c>
      <c r="F296" s="15">
        <f t="shared" si="72"/>
        <v>34.200000000000003</v>
      </c>
      <c r="G296" s="15"/>
      <c r="H296" s="14" t="s">
        <v>313</v>
      </c>
    </row>
    <row r="297" spans="2:8" ht="76.5" x14ac:dyDescent="0.2">
      <c r="B297" s="9">
        <v>295</v>
      </c>
      <c r="C297" s="13" t="s">
        <v>309</v>
      </c>
      <c r="D297" s="11">
        <f t="shared" si="73"/>
        <v>13.467008</v>
      </c>
      <c r="E297" s="11">
        <f t="shared" si="74"/>
        <v>6.9272</v>
      </c>
      <c r="F297" s="15">
        <f t="shared" si="72"/>
        <v>34.200000000000003</v>
      </c>
      <c r="G297" s="15"/>
      <c r="H297" s="14" t="s">
        <v>314</v>
      </c>
    </row>
    <row r="298" spans="2:8" ht="76.5" x14ac:dyDescent="0.2">
      <c r="B298" s="9">
        <v>296</v>
      </c>
      <c r="C298" s="13" t="s">
        <v>309</v>
      </c>
      <c r="D298" s="11">
        <f t="shared" si="73"/>
        <v>13.467008</v>
      </c>
      <c r="E298" s="11">
        <f t="shared" si="74"/>
        <v>6.9272</v>
      </c>
      <c r="F298" s="15">
        <f t="shared" si="72"/>
        <v>34.200000000000003</v>
      </c>
      <c r="G298" s="15"/>
      <c r="H298" s="14" t="s">
        <v>315</v>
      </c>
    </row>
    <row r="299" spans="2:8" ht="76.5" x14ac:dyDescent="0.2">
      <c r="B299" s="9">
        <v>297</v>
      </c>
      <c r="C299" s="13" t="s">
        <v>309</v>
      </c>
      <c r="D299" s="11">
        <f t="shared" si="73"/>
        <v>13.467008</v>
      </c>
      <c r="E299" s="11">
        <f t="shared" si="74"/>
        <v>6.9272</v>
      </c>
      <c r="F299" s="15">
        <f t="shared" si="72"/>
        <v>34.200000000000003</v>
      </c>
      <c r="G299" s="15"/>
      <c r="H299" s="14" t="s">
        <v>316</v>
      </c>
    </row>
    <row r="300" spans="2:8" ht="76.5" x14ac:dyDescent="0.2">
      <c r="B300" s="9">
        <v>298</v>
      </c>
      <c r="C300" s="13" t="s">
        <v>309</v>
      </c>
      <c r="D300" s="11">
        <f t="shared" si="73"/>
        <v>13.467008</v>
      </c>
      <c r="E300" s="11">
        <f t="shared" si="74"/>
        <v>6.9272</v>
      </c>
      <c r="F300" s="15">
        <f t="shared" si="72"/>
        <v>34.200000000000003</v>
      </c>
      <c r="G300" s="15"/>
      <c r="H300" s="14" t="s">
        <v>317</v>
      </c>
    </row>
    <row r="301" spans="2:8" ht="76.5" x14ac:dyDescent="0.2">
      <c r="B301" s="9">
        <v>299</v>
      </c>
      <c r="C301" s="13" t="s">
        <v>309</v>
      </c>
      <c r="D301" s="11">
        <f t="shared" si="73"/>
        <v>13.467008</v>
      </c>
      <c r="E301" s="11">
        <f t="shared" si="74"/>
        <v>6.9272</v>
      </c>
      <c r="F301" s="15">
        <f t="shared" si="72"/>
        <v>34.200000000000003</v>
      </c>
      <c r="G301" s="15"/>
      <c r="H301" s="14" t="s">
        <v>318</v>
      </c>
    </row>
    <row r="302" spans="2:8" ht="76.5" x14ac:dyDescent="0.2">
      <c r="B302" s="9">
        <v>300</v>
      </c>
      <c r="C302" s="13" t="s">
        <v>309</v>
      </c>
      <c r="D302" s="11">
        <f t="shared" si="73"/>
        <v>13.467008</v>
      </c>
      <c r="E302" s="11">
        <f t="shared" si="74"/>
        <v>6.9272</v>
      </c>
      <c r="F302" s="15">
        <f t="shared" si="72"/>
        <v>34.200000000000003</v>
      </c>
      <c r="G302" s="15"/>
      <c r="H302" s="14" t="s">
        <v>319</v>
      </c>
    </row>
    <row r="303" spans="2:8" ht="76.5" x14ac:dyDescent="0.2">
      <c r="B303" s="9">
        <v>301</v>
      </c>
      <c r="C303" s="13" t="s">
        <v>320</v>
      </c>
      <c r="D303" s="11">
        <f t="shared" si="73"/>
        <v>13.941568</v>
      </c>
      <c r="E303" s="11">
        <f t="shared" si="74"/>
        <v>6.9272</v>
      </c>
      <c r="F303" s="15">
        <f t="shared" si="72"/>
        <v>34.200000000000003</v>
      </c>
      <c r="G303" s="15"/>
      <c r="H303" s="14" t="s">
        <v>321</v>
      </c>
    </row>
    <row r="304" spans="2:8" ht="76.5" x14ac:dyDescent="0.2">
      <c r="B304" s="9">
        <v>302</v>
      </c>
      <c r="C304" s="13" t="s">
        <v>320</v>
      </c>
      <c r="D304" s="11">
        <f t="shared" si="73"/>
        <v>13.941568</v>
      </c>
      <c r="E304" s="11">
        <f t="shared" si="74"/>
        <v>6.9272</v>
      </c>
      <c r="F304" s="15">
        <f t="shared" si="72"/>
        <v>34.200000000000003</v>
      </c>
      <c r="G304" s="15"/>
      <c r="H304" s="14" t="s">
        <v>322</v>
      </c>
    </row>
    <row r="305" spans="2:8" ht="76.5" x14ac:dyDescent="0.2">
      <c r="B305" s="9">
        <v>303</v>
      </c>
      <c r="C305" s="13" t="s">
        <v>320</v>
      </c>
      <c r="D305" s="11">
        <f t="shared" si="73"/>
        <v>13.941568</v>
      </c>
      <c r="E305" s="11">
        <f t="shared" si="74"/>
        <v>6.9272</v>
      </c>
      <c r="F305" s="15">
        <f t="shared" si="72"/>
        <v>34.200000000000003</v>
      </c>
      <c r="G305" s="15"/>
      <c r="H305" s="14" t="s">
        <v>323</v>
      </c>
    </row>
    <row r="306" spans="2:8" ht="76.5" x14ac:dyDescent="0.2">
      <c r="B306" s="9">
        <v>304</v>
      </c>
      <c r="C306" s="13" t="s">
        <v>320</v>
      </c>
      <c r="D306" s="11">
        <f t="shared" si="73"/>
        <v>13.941568</v>
      </c>
      <c r="E306" s="11">
        <f t="shared" si="74"/>
        <v>6.9272</v>
      </c>
      <c r="F306" s="15">
        <f t="shared" si="72"/>
        <v>34.200000000000003</v>
      </c>
      <c r="G306" s="15"/>
      <c r="H306" s="14" t="s">
        <v>324</v>
      </c>
    </row>
    <row r="307" spans="2:8" ht="76.5" x14ac:dyDescent="0.2">
      <c r="B307" s="9">
        <v>305</v>
      </c>
      <c r="C307" s="13" t="s">
        <v>320</v>
      </c>
      <c r="D307" s="11">
        <f t="shared" si="73"/>
        <v>13.941568</v>
      </c>
      <c r="E307" s="11">
        <f t="shared" si="74"/>
        <v>6.9272</v>
      </c>
      <c r="F307" s="15">
        <f t="shared" si="72"/>
        <v>34.200000000000003</v>
      </c>
      <c r="G307" s="15"/>
      <c r="H307" s="14" t="s">
        <v>325</v>
      </c>
    </row>
    <row r="308" spans="2:8" ht="76.5" x14ac:dyDescent="0.2">
      <c r="B308" s="9">
        <v>306</v>
      </c>
      <c r="C308" s="13" t="s">
        <v>320</v>
      </c>
      <c r="D308" s="11">
        <f t="shared" si="73"/>
        <v>13.941568</v>
      </c>
      <c r="E308" s="11">
        <f t="shared" si="74"/>
        <v>6.9272</v>
      </c>
      <c r="F308" s="15">
        <f t="shared" si="72"/>
        <v>34.200000000000003</v>
      </c>
      <c r="G308" s="15"/>
      <c r="H308" s="14" t="s">
        <v>326</v>
      </c>
    </row>
    <row r="309" spans="2:8" ht="76.5" x14ac:dyDescent="0.2">
      <c r="B309" s="9">
        <v>307</v>
      </c>
      <c r="C309" s="13" t="s">
        <v>327</v>
      </c>
      <c r="D309" s="11">
        <f t="shared" si="73"/>
        <v>13.896927999999999</v>
      </c>
      <c r="E309" s="11">
        <f t="shared" si="74"/>
        <v>6.9272</v>
      </c>
      <c r="F309" s="15">
        <f t="shared" si="72"/>
        <v>34.200000000000003</v>
      </c>
      <c r="G309" s="15"/>
      <c r="H309" s="14" t="s">
        <v>328</v>
      </c>
    </row>
    <row r="310" spans="2:8" ht="76.5" x14ac:dyDescent="0.2">
      <c r="B310" s="9">
        <v>308</v>
      </c>
      <c r="C310" s="13" t="s">
        <v>327</v>
      </c>
      <c r="D310" s="11">
        <f t="shared" si="73"/>
        <v>13.896927999999999</v>
      </c>
      <c r="E310" s="11">
        <f t="shared" si="74"/>
        <v>6.9272</v>
      </c>
      <c r="F310" s="15">
        <f t="shared" si="72"/>
        <v>34.200000000000003</v>
      </c>
      <c r="G310" s="15"/>
      <c r="H310" s="14" t="s">
        <v>329</v>
      </c>
    </row>
    <row r="311" spans="2:8" ht="76.5" x14ac:dyDescent="0.2">
      <c r="B311" s="9">
        <v>309</v>
      </c>
      <c r="C311" s="13" t="s">
        <v>327</v>
      </c>
      <c r="D311" s="11">
        <f t="shared" si="73"/>
        <v>13.896927999999999</v>
      </c>
      <c r="E311" s="11">
        <f t="shared" si="74"/>
        <v>6.9272</v>
      </c>
      <c r="F311" s="15">
        <f t="shared" si="72"/>
        <v>34.200000000000003</v>
      </c>
      <c r="G311" s="15"/>
      <c r="H311" s="14" t="s">
        <v>330</v>
      </c>
    </row>
    <row r="312" spans="2:8" ht="76.5" x14ac:dyDescent="0.2">
      <c r="B312" s="9">
        <v>310</v>
      </c>
      <c r="C312" s="13" t="s">
        <v>327</v>
      </c>
      <c r="D312" s="11">
        <f t="shared" si="73"/>
        <v>13.896927999999999</v>
      </c>
      <c r="E312" s="11">
        <f t="shared" si="74"/>
        <v>6.9272</v>
      </c>
      <c r="F312" s="15">
        <f t="shared" si="72"/>
        <v>34.200000000000003</v>
      </c>
      <c r="G312" s="15"/>
      <c r="H312" s="14" t="s">
        <v>331</v>
      </c>
    </row>
    <row r="313" spans="2:8" ht="76.5" x14ac:dyDescent="0.2">
      <c r="B313" s="9">
        <v>311</v>
      </c>
      <c r="C313" s="13" t="s">
        <v>327</v>
      </c>
      <c r="D313" s="11">
        <f t="shared" si="73"/>
        <v>13.896927999999999</v>
      </c>
      <c r="E313" s="11">
        <f t="shared" si="74"/>
        <v>6.9272</v>
      </c>
      <c r="F313" s="15">
        <f t="shared" si="72"/>
        <v>34.200000000000003</v>
      </c>
      <c r="G313" s="15"/>
      <c r="H313" s="14" t="s">
        <v>332</v>
      </c>
    </row>
    <row r="314" spans="2:8" ht="76.5" x14ac:dyDescent="0.2">
      <c r="B314" s="9">
        <v>312</v>
      </c>
      <c r="C314" s="13" t="s">
        <v>327</v>
      </c>
      <c r="D314" s="11">
        <f t="shared" si="73"/>
        <v>13.896927999999999</v>
      </c>
      <c r="E314" s="11">
        <f t="shared" si="74"/>
        <v>6.9272</v>
      </c>
      <c r="F314" s="15">
        <f t="shared" si="72"/>
        <v>34.200000000000003</v>
      </c>
      <c r="G314" s="15"/>
      <c r="H314" s="14" t="s">
        <v>333</v>
      </c>
    </row>
    <row r="315" spans="2:8" ht="76.5" x14ac:dyDescent="0.2">
      <c r="B315" s="9">
        <v>313</v>
      </c>
      <c r="C315" s="13" t="s">
        <v>327</v>
      </c>
      <c r="D315" s="11">
        <f>$D$56+$D$56+$D$56+$D$56+$D$56+D45</f>
        <v>14.276119999999999</v>
      </c>
      <c r="E315" s="11">
        <f>$E$56+$E$56+$E$56+$E$56+$E$56+E45</f>
        <v>7.1092000000000004</v>
      </c>
      <c r="F315" s="15">
        <f>4.7+6.2+6.2+6.2+6.2+6.2</f>
        <v>35.700000000000003</v>
      </c>
      <c r="G315" s="15"/>
      <c r="H315" s="14" t="s">
        <v>334</v>
      </c>
    </row>
    <row r="316" spans="2:8" ht="76.5" x14ac:dyDescent="0.2">
      <c r="B316" s="9">
        <v>314</v>
      </c>
      <c r="C316" s="13" t="s">
        <v>335</v>
      </c>
      <c r="D316" s="11">
        <f t="shared" ref="D316:D326" si="75">$D$56+$D$56+$D$56+$D$56+$D$56+D46</f>
        <v>14.276119999999999</v>
      </c>
      <c r="E316" s="11">
        <f t="shared" ref="E316:E326" si="76">$E$56+$E$56+$E$56+$E$56+$E$56+E46</f>
        <v>7.1092000000000004</v>
      </c>
      <c r="F316" s="15">
        <f t="shared" ref="F316:F320" si="77">4.7+6.2+6.2+6.2+6.2+6.2</f>
        <v>35.700000000000003</v>
      </c>
      <c r="G316" s="15"/>
      <c r="H316" s="14" t="s">
        <v>336</v>
      </c>
    </row>
    <row r="317" spans="2:8" ht="76.5" x14ac:dyDescent="0.2">
      <c r="B317" s="9">
        <v>315</v>
      </c>
      <c r="C317" s="13" t="s">
        <v>335</v>
      </c>
      <c r="D317" s="11">
        <f t="shared" si="75"/>
        <v>14.276119999999999</v>
      </c>
      <c r="E317" s="11">
        <f t="shared" si="76"/>
        <v>7.1092000000000004</v>
      </c>
      <c r="F317" s="15">
        <f t="shared" si="77"/>
        <v>35.700000000000003</v>
      </c>
      <c r="G317" s="15"/>
      <c r="H317" s="14" t="s">
        <v>337</v>
      </c>
    </row>
    <row r="318" spans="2:8" ht="76.5" x14ac:dyDescent="0.2">
      <c r="B318" s="9">
        <v>316</v>
      </c>
      <c r="C318" s="13" t="s">
        <v>335</v>
      </c>
      <c r="D318" s="11">
        <f t="shared" si="75"/>
        <v>14.276119999999999</v>
      </c>
      <c r="E318" s="11">
        <f t="shared" si="76"/>
        <v>7.1092000000000004</v>
      </c>
      <c r="F318" s="15">
        <f t="shared" si="77"/>
        <v>35.700000000000003</v>
      </c>
      <c r="G318" s="15"/>
      <c r="H318" s="14" t="s">
        <v>338</v>
      </c>
    </row>
    <row r="319" spans="2:8" ht="76.5" x14ac:dyDescent="0.2">
      <c r="B319" s="9">
        <v>317</v>
      </c>
      <c r="C319" s="13" t="s">
        <v>335</v>
      </c>
      <c r="D319" s="11">
        <f t="shared" si="75"/>
        <v>14.276119999999999</v>
      </c>
      <c r="E319" s="11">
        <f t="shared" si="76"/>
        <v>7.1092000000000004</v>
      </c>
      <c r="F319" s="15">
        <f t="shared" si="77"/>
        <v>35.700000000000003</v>
      </c>
      <c r="G319" s="15"/>
      <c r="H319" s="14" t="s">
        <v>339</v>
      </c>
    </row>
    <row r="320" spans="2:8" ht="76.5" x14ac:dyDescent="0.2">
      <c r="B320" s="9">
        <v>318</v>
      </c>
      <c r="C320" s="13" t="s">
        <v>335</v>
      </c>
      <c r="D320" s="11">
        <f t="shared" si="75"/>
        <v>14.276119999999999</v>
      </c>
      <c r="E320" s="11">
        <f t="shared" si="76"/>
        <v>7.1092000000000004</v>
      </c>
      <c r="F320" s="15">
        <f t="shared" si="77"/>
        <v>35.700000000000003</v>
      </c>
      <c r="G320" s="15"/>
      <c r="H320" s="14" t="s">
        <v>340</v>
      </c>
    </row>
    <row r="321" spans="2:8" ht="76.5" x14ac:dyDescent="0.2">
      <c r="B321" s="9">
        <v>319</v>
      </c>
      <c r="C321" s="13" t="s">
        <v>341</v>
      </c>
      <c r="D321" s="11">
        <f t="shared" si="75"/>
        <v>14.655311999999999</v>
      </c>
      <c r="E321" s="11">
        <f t="shared" si="76"/>
        <v>7.2912000000000008</v>
      </c>
      <c r="F321" s="15">
        <f>6.2+6.2+6.2+6.2+6.2+6.2</f>
        <v>37.200000000000003</v>
      </c>
      <c r="G321" s="15"/>
      <c r="H321" s="14" t="s">
        <v>342</v>
      </c>
    </row>
    <row r="322" spans="2:8" ht="76.5" x14ac:dyDescent="0.2">
      <c r="B322" s="9">
        <v>320</v>
      </c>
      <c r="C322" s="13" t="s">
        <v>341</v>
      </c>
      <c r="D322" s="11">
        <f t="shared" si="75"/>
        <v>14.655311999999999</v>
      </c>
      <c r="E322" s="11">
        <f t="shared" si="76"/>
        <v>7.2912000000000008</v>
      </c>
      <c r="F322" s="15">
        <f t="shared" ref="F322:F326" si="78">6.2+6.2+6.2+6.2+6.2+6.2</f>
        <v>37.200000000000003</v>
      </c>
      <c r="G322" s="15"/>
      <c r="H322" s="14" t="s">
        <v>343</v>
      </c>
    </row>
    <row r="323" spans="2:8" ht="76.5" x14ac:dyDescent="0.2">
      <c r="B323" s="9">
        <v>321</v>
      </c>
      <c r="C323" s="13" t="s">
        <v>341</v>
      </c>
      <c r="D323" s="11">
        <f t="shared" si="75"/>
        <v>14.655311999999999</v>
      </c>
      <c r="E323" s="11">
        <f t="shared" si="76"/>
        <v>7.2912000000000008</v>
      </c>
      <c r="F323" s="15">
        <f t="shared" si="78"/>
        <v>37.200000000000003</v>
      </c>
      <c r="G323" s="15"/>
      <c r="H323" s="14" t="s">
        <v>344</v>
      </c>
    </row>
    <row r="324" spans="2:8" ht="76.5" x14ac:dyDescent="0.2">
      <c r="B324" s="9">
        <v>322</v>
      </c>
      <c r="C324" s="13" t="s">
        <v>341</v>
      </c>
      <c r="D324" s="11">
        <f t="shared" si="75"/>
        <v>14.655311999999999</v>
      </c>
      <c r="E324" s="11">
        <f t="shared" si="76"/>
        <v>7.2912000000000008</v>
      </c>
      <c r="F324" s="15">
        <f t="shared" si="78"/>
        <v>37.200000000000003</v>
      </c>
      <c r="G324" s="15"/>
      <c r="H324" s="14" t="s">
        <v>345</v>
      </c>
    </row>
    <row r="325" spans="2:8" ht="76.5" x14ac:dyDescent="0.2">
      <c r="B325" s="9">
        <v>323</v>
      </c>
      <c r="C325" s="13" t="s">
        <v>341</v>
      </c>
      <c r="D325" s="11">
        <f t="shared" si="75"/>
        <v>14.655311999999999</v>
      </c>
      <c r="E325" s="11">
        <f t="shared" si="76"/>
        <v>7.2912000000000008</v>
      </c>
      <c r="F325" s="15">
        <f t="shared" si="78"/>
        <v>37.200000000000003</v>
      </c>
      <c r="G325" s="15"/>
      <c r="H325" s="14" t="s">
        <v>346</v>
      </c>
    </row>
    <row r="326" spans="2:8" ht="76.5" x14ac:dyDescent="0.2">
      <c r="B326" s="9">
        <v>324</v>
      </c>
      <c r="C326" s="13" t="s">
        <v>341</v>
      </c>
      <c r="D326" s="11">
        <f t="shared" si="75"/>
        <v>14.655311999999999</v>
      </c>
      <c r="E326" s="11">
        <f t="shared" si="76"/>
        <v>7.2912000000000008</v>
      </c>
      <c r="F326" s="15">
        <f t="shared" si="78"/>
        <v>37.200000000000003</v>
      </c>
      <c r="G326" s="15"/>
      <c r="H326" s="14" t="s">
        <v>347</v>
      </c>
    </row>
    <row r="327" spans="2:8" ht="89.25" x14ac:dyDescent="0.2">
      <c r="B327" s="9">
        <v>325</v>
      </c>
      <c r="C327" s="13" t="s">
        <v>348</v>
      </c>
      <c r="D327" s="11">
        <f>$D$56+$D$56+$D$56+$D$56+$D$56+$D$50+D9</f>
        <v>14.826741999999999</v>
      </c>
      <c r="E327" s="11">
        <f>$E$56+$E$56+$E$56+$E$56++$E$56+$E$50+E9</f>
        <v>7.6238000000000001</v>
      </c>
      <c r="F327" s="15">
        <f>3.3+4.7+6.2+6.2+6.2+6.2+6.2</f>
        <v>39</v>
      </c>
      <c r="G327" s="15"/>
      <c r="H327" s="14" t="s">
        <v>349</v>
      </c>
    </row>
    <row r="328" spans="2:8" ht="89.25" x14ac:dyDescent="0.2">
      <c r="B328" s="9">
        <v>326</v>
      </c>
      <c r="C328" s="13" t="s">
        <v>348</v>
      </c>
      <c r="D328" s="11">
        <f t="shared" ref="D328:D340" si="79">$D$56+$D$56+$D$56+$D$56+$D$56+$D$50+D10</f>
        <v>14.826741999999999</v>
      </c>
      <c r="E328" s="11">
        <f t="shared" ref="E328:E340" si="80">$E$56+$E$56+$E$56+$E$56++$E$56+$E$50+E10</f>
        <v>7.6238000000000001</v>
      </c>
      <c r="F328" s="15">
        <f t="shared" ref="F328:F340" si="81">3.3+4.7+6.2+6.2+6.2+6.2+6.2</f>
        <v>39</v>
      </c>
      <c r="G328" s="15"/>
      <c r="H328" s="14" t="s">
        <v>350</v>
      </c>
    </row>
    <row r="329" spans="2:8" ht="89.25" x14ac:dyDescent="0.2">
      <c r="B329" s="9">
        <v>327</v>
      </c>
      <c r="C329" s="13" t="s">
        <v>351</v>
      </c>
      <c r="D329" s="11">
        <f t="shared" si="79"/>
        <v>14.986267999999999</v>
      </c>
      <c r="E329" s="11">
        <f t="shared" si="80"/>
        <v>7.6238000000000001</v>
      </c>
      <c r="F329" s="15">
        <f t="shared" si="81"/>
        <v>39</v>
      </c>
      <c r="G329" s="15"/>
      <c r="H329" s="14" t="s">
        <v>352</v>
      </c>
    </row>
    <row r="330" spans="2:8" ht="89.25" x14ac:dyDescent="0.2">
      <c r="B330" s="9">
        <v>328</v>
      </c>
      <c r="C330" s="13" t="s">
        <v>351</v>
      </c>
      <c r="D330" s="11">
        <f t="shared" si="79"/>
        <v>14.986267999999999</v>
      </c>
      <c r="E330" s="11">
        <f t="shared" si="80"/>
        <v>7.6238000000000001</v>
      </c>
      <c r="F330" s="15">
        <f t="shared" si="81"/>
        <v>39</v>
      </c>
      <c r="G330" s="15"/>
      <c r="H330" s="14" t="s">
        <v>353</v>
      </c>
    </row>
    <row r="331" spans="2:8" ht="89.25" x14ac:dyDescent="0.2">
      <c r="B331" s="9">
        <v>329</v>
      </c>
      <c r="C331" s="13" t="s">
        <v>351</v>
      </c>
      <c r="D331" s="11">
        <f t="shared" si="79"/>
        <v>14.986267999999999</v>
      </c>
      <c r="E331" s="11">
        <f t="shared" si="80"/>
        <v>7.6238000000000001</v>
      </c>
      <c r="F331" s="15">
        <f t="shared" si="81"/>
        <v>39</v>
      </c>
      <c r="G331" s="15"/>
      <c r="H331" s="14" t="s">
        <v>354</v>
      </c>
    </row>
    <row r="332" spans="2:8" ht="89.25" x14ac:dyDescent="0.2">
      <c r="B332" s="9">
        <v>330</v>
      </c>
      <c r="C332" s="13" t="s">
        <v>351</v>
      </c>
      <c r="D332" s="11">
        <f t="shared" si="79"/>
        <v>14.986267999999999</v>
      </c>
      <c r="E332" s="11">
        <f t="shared" si="80"/>
        <v>7.6238000000000001</v>
      </c>
      <c r="F332" s="15">
        <f t="shared" si="81"/>
        <v>39</v>
      </c>
      <c r="G332" s="15"/>
      <c r="H332" s="14" t="s">
        <v>355</v>
      </c>
    </row>
    <row r="333" spans="2:8" ht="89.25" x14ac:dyDescent="0.2">
      <c r="B333" s="9">
        <v>331</v>
      </c>
      <c r="C333" s="13" t="s">
        <v>356</v>
      </c>
      <c r="D333" s="11">
        <f t="shared" si="79"/>
        <v>15.114979999999999</v>
      </c>
      <c r="E333" s="11">
        <f t="shared" si="80"/>
        <v>7.6238000000000001</v>
      </c>
      <c r="F333" s="15">
        <f t="shared" si="81"/>
        <v>39</v>
      </c>
      <c r="G333" s="15"/>
      <c r="H333" s="14" t="s">
        <v>357</v>
      </c>
    </row>
    <row r="334" spans="2:8" ht="89.25" x14ac:dyDescent="0.2">
      <c r="B334" s="9">
        <v>332</v>
      </c>
      <c r="C334" s="13" t="s">
        <v>356</v>
      </c>
      <c r="D334" s="11">
        <f t="shared" si="79"/>
        <v>15.114979999999999</v>
      </c>
      <c r="E334" s="11">
        <f t="shared" si="80"/>
        <v>7.6238000000000001</v>
      </c>
      <c r="F334" s="15">
        <f t="shared" si="81"/>
        <v>39</v>
      </c>
      <c r="G334" s="15"/>
      <c r="H334" s="14" t="s">
        <v>358</v>
      </c>
    </row>
    <row r="335" spans="2:8" ht="89.25" x14ac:dyDescent="0.2">
      <c r="B335" s="9">
        <v>333</v>
      </c>
      <c r="C335" s="13" t="s">
        <v>356</v>
      </c>
      <c r="D335" s="11">
        <f t="shared" si="79"/>
        <v>15.114979999999999</v>
      </c>
      <c r="E335" s="11">
        <f t="shared" si="80"/>
        <v>7.6238000000000001</v>
      </c>
      <c r="F335" s="15">
        <f t="shared" si="81"/>
        <v>39</v>
      </c>
      <c r="G335" s="15"/>
      <c r="H335" s="14" t="s">
        <v>359</v>
      </c>
    </row>
    <row r="336" spans="2:8" ht="89.25" x14ac:dyDescent="0.2">
      <c r="B336" s="9">
        <v>334</v>
      </c>
      <c r="C336" s="13" t="s">
        <v>356</v>
      </c>
      <c r="D336" s="11">
        <f t="shared" si="79"/>
        <v>15.114979999999999</v>
      </c>
      <c r="E336" s="11">
        <f t="shared" si="80"/>
        <v>7.6238000000000001</v>
      </c>
      <c r="F336" s="15">
        <f t="shared" si="81"/>
        <v>39</v>
      </c>
      <c r="G336" s="15"/>
      <c r="H336" s="14" t="s">
        <v>360</v>
      </c>
    </row>
    <row r="337" spans="2:8" ht="89.25" x14ac:dyDescent="0.2">
      <c r="B337" s="9">
        <v>335</v>
      </c>
      <c r="C337" s="13" t="s">
        <v>361</v>
      </c>
      <c r="D337" s="11">
        <f t="shared" si="79"/>
        <v>15.170519999999998</v>
      </c>
      <c r="E337" s="11">
        <f t="shared" si="80"/>
        <v>7.6238000000000001</v>
      </c>
      <c r="F337" s="15">
        <f t="shared" si="81"/>
        <v>39</v>
      </c>
      <c r="G337" s="15"/>
      <c r="H337" s="14" t="s">
        <v>362</v>
      </c>
    </row>
    <row r="338" spans="2:8" ht="89.25" x14ac:dyDescent="0.2">
      <c r="B338" s="9">
        <v>336</v>
      </c>
      <c r="C338" s="13" t="s">
        <v>361</v>
      </c>
      <c r="D338" s="11">
        <f t="shared" si="79"/>
        <v>15.170519999999998</v>
      </c>
      <c r="E338" s="11">
        <f t="shared" si="80"/>
        <v>7.6238000000000001</v>
      </c>
      <c r="F338" s="15">
        <f t="shared" si="81"/>
        <v>39</v>
      </c>
      <c r="G338" s="15"/>
      <c r="H338" s="14" t="s">
        <v>363</v>
      </c>
    </row>
    <row r="339" spans="2:8" ht="89.25" x14ac:dyDescent="0.2">
      <c r="B339" s="9">
        <v>337</v>
      </c>
      <c r="C339" s="13" t="s">
        <v>361</v>
      </c>
      <c r="D339" s="11">
        <f t="shared" si="79"/>
        <v>15.170519999999998</v>
      </c>
      <c r="E339" s="11">
        <f t="shared" si="80"/>
        <v>7.6238000000000001</v>
      </c>
      <c r="F339" s="15">
        <f t="shared" si="81"/>
        <v>39</v>
      </c>
      <c r="G339" s="15"/>
      <c r="H339" s="14" t="s">
        <v>364</v>
      </c>
    </row>
    <row r="340" spans="2:8" ht="89.25" x14ac:dyDescent="0.2">
      <c r="B340" s="9">
        <v>338</v>
      </c>
      <c r="C340" s="13" t="s">
        <v>361</v>
      </c>
      <c r="D340" s="11">
        <f t="shared" si="79"/>
        <v>15.170519999999998</v>
      </c>
      <c r="E340" s="11">
        <f t="shared" si="80"/>
        <v>7.6238000000000001</v>
      </c>
      <c r="F340" s="15">
        <f t="shared" si="81"/>
        <v>39</v>
      </c>
      <c r="G340" s="15"/>
      <c r="H340" s="14" t="s">
        <v>365</v>
      </c>
    </row>
    <row r="341" spans="2:8" ht="89.25" x14ac:dyDescent="0.2">
      <c r="B341" s="9">
        <v>339</v>
      </c>
      <c r="C341" s="13" t="s">
        <v>366</v>
      </c>
      <c r="D341" s="11">
        <f>$D$56+$D$56+$D$56++$D$56+$D$56+$D$56+D17</f>
        <v>15.494171999999999</v>
      </c>
      <c r="E341" s="11">
        <f>$E$56+$E$56+$E$56+$E$56+$E$56+$E$56+E17</f>
        <v>7.8058000000000005</v>
      </c>
      <c r="F341" s="15">
        <f>3.3+6.2+6.2+6.2+6.2+6.2+6.2</f>
        <v>40.5</v>
      </c>
      <c r="G341" s="15"/>
      <c r="H341" s="14" t="s">
        <v>367</v>
      </c>
    </row>
    <row r="342" spans="2:8" ht="89.25" x14ac:dyDescent="0.2">
      <c r="B342" s="9">
        <v>340</v>
      </c>
      <c r="C342" s="13" t="s">
        <v>366</v>
      </c>
      <c r="D342" s="11">
        <f t="shared" ref="D342:D346" si="82">$D$56+$D$56+$D$56++$D$56+$D$56+$D$56+D18</f>
        <v>15.494171999999999</v>
      </c>
      <c r="E342" s="11">
        <f t="shared" ref="E342:E346" si="83">$E$56+$E$56+$E$56+$E$56+$E$56+$E$56+E18</f>
        <v>7.8058000000000005</v>
      </c>
      <c r="F342" s="15">
        <f t="shared" ref="F342:F346" si="84">3.3+6.2+6.2+6.2+6.2+6.2+6.2</f>
        <v>40.5</v>
      </c>
      <c r="G342" s="15"/>
      <c r="H342" s="14" t="s">
        <v>368</v>
      </c>
    </row>
    <row r="343" spans="2:8" ht="89.25" x14ac:dyDescent="0.2">
      <c r="B343" s="9">
        <v>341</v>
      </c>
      <c r="C343" s="13" t="s">
        <v>369</v>
      </c>
      <c r="D343" s="11">
        <f t="shared" si="82"/>
        <v>15.549711999999998</v>
      </c>
      <c r="E343" s="11">
        <f t="shared" si="83"/>
        <v>7.8058000000000005</v>
      </c>
      <c r="F343" s="15">
        <f t="shared" si="84"/>
        <v>40.5</v>
      </c>
      <c r="G343" s="15"/>
      <c r="H343" s="14" t="s">
        <v>370</v>
      </c>
    </row>
    <row r="344" spans="2:8" ht="89.25" x14ac:dyDescent="0.2">
      <c r="B344" s="9">
        <v>342</v>
      </c>
      <c r="C344" s="13" t="s">
        <v>369</v>
      </c>
      <c r="D344" s="11">
        <f t="shared" si="82"/>
        <v>15.549711999999998</v>
      </c>
      <c r="E344" s="11">
        <f t="shared" si="83"/>
        <v>7.8058000000000005</v>
      </c>
      <c r="F344" s="15">
        <f t="shared" si="84"/>
        <v>40.5</v>
      </c>
      <c r="G344" s="15"/>
      <c r="H344" s="14" t="s">
        <v>371</v>
      </c>
    </row>
    <row r="345" spans="2:8" ht="89.25" x14ac:dyDescent="0.2">
      <c r="B345" s="9">
        <v>343</v>
      </c>
      <c r="C345" s="13" t="s">
        <v>369</v>
      </c>
      <c r="D345" s="11">
        <f t="shared" si="82"/>
        <v>15.549711999999998</v>
      </c>
      <c r="E345" s="11">
        <f t="shared" si="83"/>
        <v>7.8058000000000005</v>
      </c>
      <c r="F345" s="15">
        <f t="shared" si="84"/>
        <v>40.5</v>
      </c>
      <c r="G345" s="15"/>
      <c r="H345" s="14" t="s">
        <v>372</v>
      </c>
    </row>
    <row r="346" spans="2:8" ht="89.25" x14ac:dyDescent="0.2">
      <c r="B346" s="9">
        <v>344</v>
      </c>
      <c r="C346" s="13" t="s">
        <v>369</v>
      </c>
      <c r="D346" s="11">
        <f t="shared" si="82"/>
        <v>15.549711999999998</v>
      </c>
      <c r="E346" s="11">
        <f t="shared" si="83"/>
        <v>7.8058000000000005</v>
      </c>
      <c r="F346" s="15">
        <f t="shared" si="84"/>
        <v>40.5</v>
      </c>
      <c r="G346" s="15"/>
      <c r="H346" s="14" t="s">
        <v>373</v>
      </c>
    </row>
    <row r="347" spans="2:8" ht="89.25" x14ac:dyDescent="0.2">
      <c r="B347" s="9">
        <v>345</v>
      </c>
      <c r="C347" s="13" t="s">
        <v>374</v>
      </c>
      <c r="D347" s="11">
        <f>$D$56+$D$56+$D$56+$D$56+$D$56+$D$50+D29</f>
        <v>15.747799999999998</v>
      </c>
      <c r="E347" s="11">
        <f>$E$56+$E$56+$E$56+$E$56+$E$56+$E$50+E29</f>
        <v>8.1424000000000003</v>
      </c>
      <c r="F347" s="15">
        <f>4.7+4.7+6.2+6.2+6.2+6.2+6.2</f>
        <v>40.400000000000006</v>
      </c>
      <c r="G347" s="15"/>
      <c r="H347" s="14" t="s">
        <v>375</v>
      </c>
    </row>
    <row r="348" spans="2:8" ht="89.25" x14ac:dyDescent="0.2">
      <c r="B348" s="9">
        <v>346</v>
      </c>
      <c r="C348" s="13" t="s">
        <v>374</v>
      </c>
      <c r="D348" s="11">
        <f t="shared" ref="D348:D368" si="85">$D$56+$D$56+$D$56+$D$56+$D$56+$D$50+D30</f>
        <v>15.747799999999998</v>
      </c>
      <c r="E348" s="11">
        <f t="shared" ref="E348:E368" si="86">$E$56+$E$56+$E$56+$E$56+$E$56+$E$50+E30</f>
        <v>8.1424000000000003</v>
      </c>
      <c r="F348" s="15">
        <f t="shared" ref="F348:F368" si="87">4.7+4.7+6.2+6.2+6.2+6.2+6.2</f>
        <v>40.400000000000006</v>
      </c>
      <c r="G348" s="15"/>
      <c r="H348" s="14" t="s">
        <v>376</v>
      </c>
    </row>
    <row r="349" spans="2:8" ht="89.25" x14ac:dyDescent="0.2">
      <c r="B349" s="9">
        <v>347</v>
      </c>
      <c r="C349" s="13" t="s">
        <v>374</v>
      </c>
      <c r="D349" s="11">
        <f t="shared" si="85"/>
        <v>15.747799999999998</v>
      </c>
      <c r="E349" s="11">
        <f t="shared" si="86"/>
        <v>8.1424000000000003</v>
      </c>
      <c r="F349" s="15">
        <f t="shared" si="87"/>
        <v>40.400000000000006</v>
      </c>
      <c r="G349" s="15"/>
      <c r="H349" s="14" t="s">
        <v>377</v>
      </c>
    </row>
    <row r="350" spans="2:8" ht="89.25" x14ac:dyDescent="0.2">
      <c r="B350" s="9">
        <v>348</v>
      </c>
      <c r="C350" s="13" t="s">
        <v>374</v>
      </c>
      <c r="D350" s="11">
        <f t="shared" si="85"/>
        <v>15.747799999999998</v>
      </c>
      <c r="E350" s="11">
        <f t="shared" si="86"/>
        <v>8.1424000000000003</v>
      </c>
      <c r="F350" s="15">
        <f t="shared" si="87"/>
        <v>40.400000000000006</v>
      </c>
      <c r="G350" s="15"/>
      <c r="H350" s="14" t="s">
        <v>378</v>
      </c>
    </row>
    <row r="351" spans="2:8" ht="89.25" x14ac:dyDescent="0.2">
      <c r="B351" s="9">
        <v>349</v>
      </c>
      <c r="C351" s="13" t="s">
        <v>379</v>
      </c>
      <c r="D351" s="11">
        <f t="shared" si="85"/>
        <v>15.909559999999999</v>
      </c>
      <c r="E351" s="11">
        <f t="shared" si="86"/>
        <v>8.1424000000000003</v>
      </c>
      <c r="F351" s="15">
        <f t="shared" si="87"/>
        <v>40.400000000000006</v>
      </c>
      <c r="G351" s="15"/>
      <c r="H351" s="14" t="s">
        <v>380</v>
      </c>
    </row>
    <row r="352" spans="2:8" ht="89.25" x14ac:dyDescent="0.2">
      <c r="B352" s="9">
        <v>350</v>
      </c>
      <c r="C352" s="13" t="s">
        <v>379</v>
      </c>
      <c r="D352" s="11">
        <f t="shared" si="85"/>
        <v>15.909559999999999</v>
      </c>
      <c r="E352" s="11">
        <f t="shared" si="86"/>
        <v>8.1424000000000003</v>
      </c>
      <c r="F352" s="15">
        <f t="shared" si="87"/>
        <v>40.400000000000006</v>
      </c>
      <c r="G352" s="15"/>
      <c r="H352" s="14" t="s">
        <v>381</v>
      </c>
    </row>
    <row r="353" spans="2:8" ht="89.25" x14ac:dyDescent="0.2">
      <c r="B353" s="9">
        <v>351</v>
      </c>
      <c r="C353" s="13" t="s">
        <v>379</v>
      </c>
      <c r="D353" s="11">
        <f t="shared" si="85"/>
        <v>15.909559999999999</v>
      </c>
      <c r="E353" s="11">
        <f t="shared" si="86"/>
        <v>8.1424000000000003</v>
      </c>
      <c r="F353" s="15">
        <f t="shared" si="87"/>
        <v>40.400000000000006</v>
      </c>
      <c r="G353" s="15"/>
      <c r="H353" s="14" t="s">
        <v>382</v>
      </c>
    </row>
    <row r="354" spans="2:8" ht="89.25" x14ac:dyDescent="0.2">
      <c r="B354" s="9">
        <v>352</v>
      </c>
      <c r="C354" s="13" t="s">
        <v>379</v>
      </c>
      <c r="D354" s="11">
        <f t="shared" si="85"/>
        <v>15.909559999999999</v>
      </c>
      <c r="E354" s="11">
        <f t="shared" si="86"/>
        <v>8.1424000000000003</v>
      </c>
      <c r="F354" s="15">
        <f t="shared" si="87"/>
        <v>40.400000000000006</v>
      </c>
      <c r="G354" s="15"/>
      <c r="H354" s="14" t="s">
        <v>383</v>
      </c>
    </row>
    <row r="355" spans="2:8" ht="89.25" x14ac:dyDescent="0.2">
      <c r="B355" s="9">
        <v>353</v>
      </c>
      <c r="C355" s="13" t="s">
        <v>379</v>
      </c>
      <c r="D355" s="11">
        <f t="shared" si="85"/>
        <v>15.909559999999999</v>
      </c>
      <c r="E355" s="11">
        <f t="shared" si="86"/>
        <v>8.1424000000000003</v>
      </c>
      <c r="F355" s="15">
        <f t="shared" si="87"/>
        <v>40.400000000000006</v>
      </c>
      <c r="G355" s="15"/>
      <c r="H355" s="14" t="s">
        <v>384</v>
      </c>
    </row>
    <row r="356" spans="2:8" ht="89.25" x14ac:dyDescent="0.2">
      <c r="B356" s="9">
        <v>354</v>
      </c>
      <c r="C356" s="13" t="s">
        <v>379</v>
      </c>
      <c r="D356" s="11">
        <f t="shared" si="85"/>
        <v>15.909559999999999</v>
      </c>
      <c r="E356" s="11">
        <f t="shared" si="86"/>
        <v>8.1424000000000003</v>
      </c>
      <c r="F356" s="15">
        <f t="shared" si="87"/>
        <v>40.400000000000006</v>
      </c>
      <c r="G356" s="15"/>
      <c r="H356" s="14" t="s">
        <v>385</v>
      </c>
    </row>
    <row r="357" spans="2:8" ht="89.25" x14ac:dyDescent="0.2">
      <c r="B357" s="9">
        <v>355</v>
      </c>
      <c r="C357" s="13" t="s">
        <v>386</v>
      </c>
      <c r="D357" s="11">
        <f t="shared" si="85"/>
        <v>16.384119999999999</v>
      </c>
      <c r="E357" s="11">
        <f t="shared" si="86"/>
        <v>8.1424000000000003</v>
      </c>
      <c r="F357" s="15">
        <f t="shared" si="87"/>
        <v>40.400000000000006</v>
      </c>
      <c r="G357" s="15"/>
      <c r="H357" s="14" t="s">
        <v>387</v>
      </c>
    </row>
    <row r="358" spans="2:8" ht="89.25" x14ac:dyDescent="0.2">
      <c r="B358" s="9">
        <v>356</v>
      </c>
      <c r="C358" s="13" t="s">
        <v>386</v>
      </c>
      <c r="D358" s="11">
        <f t="shared" si="85"/>
        <v>16.384119999999999</v>
      </c>
      <c r="E358" s="11">
        <f t="shared" si="86"/>
        <v>8.1424000000000003</v>
      </c>
      <c r="F358" s="15">
        <f t="shared" si="87"/>
        <v>40.400000000000006</v>
      </c>
      <c r="G358" s="15"/>
      <c r="H358" s="14" t="s">
        <v>388</v>
      </c>
    </row>
    <row r="359" spans="2:8" ht="89.25" x14ac:dyDescent="0.2">
      <c r="B359" s="9">
        <v>357</v>
      </c>
      <c r="C359" s="13" t="s">
        <v>386</v>
      </c>
      <c r="D359" s="11">
        <f t="shared" si="85"/>
        <v>16.384119999999999</v>
      </c>
      <c r="E359" s="11">
        <f t="shared" si="86"/>
        <v>8.1424000000000003</v>
      </c>
      <c r="F359" s="15">
        <f t="shared" si="87"/>
        <v>40.400000000000006</v>
      </c>
      <c r="G359" s="15"/>
      <c r="H359" s="14" t="s">
        <v>389</v>
      </c>
    </row>
    <row r="360" spans="2:8" ht="89.25" x14ac:dyDescent="0.2">
      <c r="B360" s="9">
        <v>358</v>
      </c>
      <c r="C360" s="13" t="s">
        <v>386</v>
      </c>
      <c r="D360" s="11">
        <f t="shared" si="85"/>
        <v>16.384119999999999</v>
      </c>
      <c r="E360" s="11">
        <f t="shared" si="86"/>
        <v>8.1424000000000003</v>
      </c>
      <c r="F360" s="15">
        <f t="shared" si="87"/>
        <v>40.400000000000006</v>
      </c>
      <c r="G360" s="15"/>
      <c r="H360" s="14" t="s">
        <v>390</v>
      </c>
    </row>
    <row r="361" spans="2:8" ht="89.25" x14ac:dyDescent="0.2">
      <c r="B361" s="9">
        <v>359</v>
      </c>
      <c r="C361" s="13" t="s">
        <v>386</v>
      </c>
      <c r="D361" s="11">
        <f t="shared" si="85"/>
        <v>16.384119999999999</v>
      </c>
      <c r="E361" s="11">
        <f t="shared" si="86"/>
        <v>8.1424000000000003</v>
      </c>
      <c r="F361" s="15">
        <f t="shared" si="87"/>
        <v>40.400000000000006</v>
      </c>
      <c r="G361" s="15"/>
      <c r="H361" s="14" t="s">
        <v>391</v>
      </c>
    </row>
    <row r="362" spans="2:8" ht="89.25" x14ac:dyDescent="0.2">
      <c r="B362" s="9">
        <v>360</v>
      </c>
      <c r="C362" s="13" t="s">
        <v>386</v>
      </c>
      <c r="D362" s="11">
        <f t="shared" si="85"/>
        <v>16.384119999999999</v>
      </c>
      <c r="E362" s="11">
        <f t="shared" si="86"/>
        <v>8.1424000000000003</v>
      </c>
      <c r="F362" s="15">
        <f t="shared" si="87"/>
        <v>40.400000000000006</v>
      </c>
      <c r="G362" s="15"/>
      <c r="H362" s="14" t="s">
        <v>392</v>
      </c>
    </row>
    <row r="363" spans="2:8" ht="89.25" x14ac:dyDescent="0.2">
      <c r="B363" s="9">
        <v>361</v>
      </c>
      <c r="C363" s="13" t="s">
        <v>393</v>
      </c>
      <c r="D363" s="11">
        <f t="shared" si="85"/>
        <v>16.339479999999998</v>
      </c>
      <c r="E363" s="11">
        <f t="shared" si="86"/>
        <v>8.1424000000000003</v>
      </c>
      <c r="F363" s="15">
        <f t="shared" si="87"/>
        <v>40.400000000000006</v>
      </c>
      <c r="G363" s="15"/>
      <c r="H363" s="14" t="s">
        <v>394</v>
      </c>
    </row>
    <row r="364" spans="2:8" ht="89.25" x14ac:dyDescent="0.2">
      <c r="B364" s="9">
        <v>362</v>
      </c>
      <c r="C364" s="13" t="s">
        <v>393</v>
      </c>
      <c r="D364" s="11">
        <f t="shared" si="85"/>
        <v>16.339479999999998</v>
      </c>
      <c r="E364" s="11">
        <f t="shared" si="86"/>
        <v>8.1424000000000003</v>
      </c>
      <c r="F364" s="15">
        <f t="shared" si="87"/>
        <v>40.400000000000006</v>
      </c>
      <c r="G364" s="15"/>
      <c r="H364" s="14" t="s">
        <v>395</v>
      </c>
    </row>
    <row r="365" spans="2:8" ht="89.25" x14ac:dyDescent="0.2">
      <c r="B365" s="9">
        <v>363</v>
      </c>
      <c r="C365" s="13" t="s">
        <v>393</v>
      </c>
      <c r="D365" s="11">
        <f t="shared" si="85"/>
        <v>16.339479999999998</v>
      </c>
      <c r="E365" s="11">
        <f t="shared" si="86"/>
        <v>8.1424000000000003</v>
      </c>
      <c r="F365" s="15">
        <f t="shared" si="87"/>
        <v>40.400000000000006</v>
      </c>
      <c r="G365" s="15"/>
      <c r="H365" s="14" t="s">
        <v>396</v>
      </c>
    </row>
    <row r="366" spans="2:8" ht="89.25" x14ac:dyDescent="0.2">
      <c r="B366" s="9">
        <v>364</v>
      </c>
      <c r="C366" s="13" t="s">
        <v>393</v>
      </c>
      <c r="D366" s="11">
        <f t="shared" si="85"/>
        <v>16.339479999999998</v>
      </c>
      <c r="E366" s="11">
        <f t="shared" si="86"/>
        <v>8.1424000000000003</v>
      </c>
      <c r="F366" s="15">
        <f t="shared" si="87"/>
        <v>40.400000000000006</v>
      </c>
      <c r="G366" s="15"/>
      <c r="H366" s="14" t="s">
        <v>397</v>
      </c>
    </row>
    <row r="367" spans="2:8" ht="89.25" x14ac:dyDescent="0.2">
      <c r="B367" s="9">
        <v>365</v>
      </c>
      <c r="C367" s="13" t="s">
        <v>393</v>
      </c>
      <c r="D367" s="11">
        <f t="shared" si="85"/>
        <v>16.339479999999998</v>
      </c>
      <c r="E367" s="11">
        <f t="shared" si="86"/>
        <v>8.1424000000000003</v>
      </c>
      <c r="F367" s="15">
        <f t="shared" si="87"/>
        <v>40.400000000000006</v>
      </c>
      <c r="G367" s="15"/>
      <c r="H367" s="14" t="s">
        <v>398</v>
      </c>
    </row>
    <row r="368" spans="2:8" ht="89.25" x14ac:dyDescent="0.2">
      <c r="B368" s="9">
        <v>366</v>
      </c>
      <c r="C368" s="13" t="s">
        <v>393</v>
      </c>
      <c r="D368" s="11">
        <f t="shared" si="85"/>
        <v>16.339479999999998</v>
      </c>
      <c r="E368" s="11">
        <f t="shared" si="86"/>
        <v>8.1424000000000003</v>
      </c>
      <c r="F368" s="15">
        <f t="shared" si="87"/>
        <v>40.400000000000006</v>
      </c>
      <c r="G368" s="15"/>
      <c r="H368" s="14" t="s">
        <v>399</v>
      </c>
    </row>
    <row r="369" spans="2:8" ht="89.25" x14ac:dyDescent="0.2">
      <c r="B369" s="9">
        <v>367</v>
      </c>
      <c r="C369" s="13" t="s">
        <v>400</v>
      </c>
      <c r="D369" s="11">
        <f>$D$56+$D$56+$D$56+$D$56+$D$56+$D$56+D45</f>
        <v>16.718671999999998</v>
      </c>
      <c r="E369" s="11">
        <f>$E$56+$E$56+$E$56+$E$56++$E$56+$E$56+E45</f>
        <v>8.3244000000000007</v>
      </c>
      <c r="F369" s="15">
        <f>4.7+6.2+6.2+6.2+6.2+6.2+6.2</f>
        <v>41.900000000000006</v>
      </c>
      <c r="G369" s="15"/>
      <c r="H369" s="14" t="s">
        <v>401</v>
      </c>
    </row>
    <row r="370" spans="2:8" ht="89.25" x14ac:dyDescent="0.2">
      <c r="B370" s="9">
        <v>368</v>
      </c>
      <c r="C370" s="13" t="s">
        <v>400</v>
      </c>
      <c r="D370" s="11">
        <f t="shared" ref="D370:D380" si="88">$D$56+$D$56+$D$56+$D$56+$D$56+$D$56+D46</f>
        <v>16.718671999999998</v>
      </c>
      <c r="E370" s="11">
        <f t="shared" ref="E370:E380" si="89">$E$56+$E$56+$E$56+$E$56++$E$56+$E$56+E46</f>
        <v>8.3244000000000007</v>
      </c>
      <c r="F370" s="15">
        <f t="shared" ref="F370:F373" si="90">4.7+6.2+6.2+6.2+6.2+6.2+6.2</f>
        <v>41.900000000000006</v>
      </c>
      <c r="G370" s="15"/>
      <c r="H370" s="14" t="s">
        <v>402</v>
      </c>
    </row>
    <row r="371" spans="2:8" ht="89.25" x14ac:dyDescent="0.2">
      <c r="B371" s="9">
        <v>369</v>
      </c>
      <c r="C371" s="13" t="s">
        <v>400</v>
      </c>
      <c r="D371" s="11">
        <f t="shared" si="88"/>
        <v>16.718671999999998</v>
      </c>
      <c r="E371" s="11">
        <f t="shared" si="89"/>
        <v>8.3244000000000007</v>
      </c>
      <c r="F371" s="15">
        <f t="shared" si="90"/>
        <v>41.900000000000006</v>
      </c>
      <c r="G371" s="15"/>
      <c r="H371" s="14" t="s">
        <v>403</v>
      </c>
    </row>
    <row r="372" spans="2:8" ht="89.25" x14ac:dyDescent="0.2">
      <c r="B372" s="9">
        <v>370</v>
      </c>
      <c r="C372" s="13" t="s">
        <v>400</v>
      </c>
      <c r="D372" s="11">
        <f t="shared" si="88"/>
        <v>16.718671999999998</v>
      </c>
      <c r="E372" s="11">
        <f t="shared" si="89"/>
        <v>8.3244000000000007</v>
      </c>
      <c r="F372" s="15">
        <f t="shared" si="90"/>
        <v>41.900000000000006</v>
      </c>
      <c r="G372" s="15"/>
      <c r="H372" s="14" t="s">
        <v>404</v>
      </c>
    </row>
    <row r="373" spans="2:8" ht="89.25" x14ac:dyDescent="0.2">
      <c r="B373" s="9">
        <v>371</v>
      </c>
      <c r="C373" s="13" t="s">
        <v>400</v>
      </c>
      <c r="D373" s="11">
        <f t="shared" si="88"/>
        <v>16.718671999999998</v>
      </c>
      <c r="E373" s="11">
        <f t="shared" si="89"/>
        <v>8.3244000000000007</v>
      </c>
      <c r="F373" s="15">
        <f t="shared" si="90"/>
        <v>41.900000000000006</v>
      </c>
      <c r="G373" s="15"/>
      <c r="H373" s="14" t="s">
        <v>405</v>
      </c>
    </row>
    <row r="374" spans="2:8" ht="89.25" x14ac:dyDescent="0.2">
      <c r="B374" s="9">
        <v>372</v>
      </c>
      <c r="C374" s="13" t="s">
        <v>400</v>
      </c>
      <c r="D374" s="11">
        <f t="shared" si="88"/>
        <v>16.718671999999998</v>
      </c>
      <c r="E374" s="11">
        <f t="shared" si="89"/>
        <v>8.3244000000000007</v>
      </c>
      <c r="F374" s="15">
        <f>6.2+6.2+6.2+6.2+6.2+6.2+6.2</f>
        <v>43.400000000000006</v>
      </c>
      <c r="G374" s="15"/>
      <c r="H374" s="14" t="s">
        <v>406</v>
      </c>
    </row>
    <row r="375" spans="2:8" ht="89.25" x14ac:dyDescent="0.2">
      <c r="B375" s="9">
        <v>373</v>
      </c>
      <c r="C375" s="13" t="s">
        <v>407</v>
      </c>
      <c r="D375" s="11">
        <f t="shared" si="88"/>
        <v>17.097863999999998</v>
      </c>
      <c r="E375" s="11">
        <f t="shared" si="89"/>
        <v>8.5064000000000011</v>
      </c>
      <c r="F375" s="15">
        <f t="shared" ref="F375:F380" si="91">6.2+6.2+6.2+6.2+6.2+6.2+6.2</f>
        <v>43.400000000000006</v>
      </c>
      <c r="G375" s="15"/>
      <c r="H375" s="14" t="s">
        <v>408</v>
      </c>
    </row>
    <row r="376" spans="2:8" ht="89.25" x14ac:dyDescent="0.2">
      <c r="B376" s="9">
        <v>374</v>
      </c>
      <c r="C376" s="13" t="s">
        <v>407</v>
      </c>
      <c r="D376" s="11">
        <f t="shared" si="88"/>
        <v>17.097863999999998</v>
      </c>
      <c r="E376" s="11">
        <f t="shared" si="89"/>
        <v>8.5064000000000011</v>
      </c>
      <c r="F376" s="15">
        <f t="shared" si="91"/>
        <v>43.400000000000006</v>
      </c>
      <c r="G376" s="15"/>
      <c r="H376" s="14" t="s">
        <v>409</v>
      </c>
    </row>
    <row r="377" spans="2:8" ht="89.25" x14ac:dyDescent="0.2">
      <c r="B377" s="9">
        <v>375</v>
      </c>
      <c r="C377" s="13" t="s">
        <v>407</v>
      </c>
      <c r="D377" s="11">
        <f t="shared" si="88"/>
        <v>17.097863999999998</v>
      </c>
      <c r="E377" s="11">
        <f t="shared" si="89"/>
        <v>8.5064000000000011</v>
      </c>
      <c r="F377" s="15">
        <f t="shared" si="91"/>
        <v>43.400000000000006</v>
      </c>
      <c r="G377" s="15"/>
      <c r="H377" s="14" t="s">
        <v>410</v>
      </c>
    </row>
    <row r="378" spans="2:8" ht="89.25" x14ac:dyDescent="0.2">
      <c r="B378" s="9">
        <v>376</v>
      </c>
      <c r="C378" s="13" t="s">
        <v>407</v>
      </c>
      <c r="D378" s="11">
        <f t="shared" si="88"/>
        <v>17.097863999999998</v>
      </c>
      <c r="E378" s="11">
        <f t="shared" si="89"/>
        <v>8.5064000000000011</v>
      </c>
      <c r="F378" s="15">
        <f t="shared" si="91"/>
        <v>43.400000000000006</v>
      </c>
      <c r="G378" s="15"/>
      <c r="H378" s="14" t="s">
        <v>411</v>
      </c>
    </row>
    <row r="379" spans="2:8" ht="89.25" x14ac:dyDescent="0.2">
      <c r="B379" s="9">
        <v>377</v>
      </c>
      <c r="C379" s="13" t="s">
        <v>407</v>
      </c>
      <c r="D379" s="11">
        <f t="shared" si="88"/>
        <v>17.097863999999998</v>
      </c>
      <c r="E379" s="11">
        <f t="shared" si="89"/>
        <v>8.5064000000000011</v>
      </c>
      <c r="F379" s="15">
        <f t="shared" si="91"/>
        <v>43.400000000000006</v>
      </c>
      <c r="G379" s="15"/>
      <c r="H379" s="14" t="s">
        <v>412</v>
      </c>
    </row>
    <row r="380" spans="2:8" ht="89.25" x14ac:dyDescent="0.2">
      <c r="B380" s="9">
        <v>378</v>
      </c>
      <c r="C380" s="13" t="s">
        <v>407</v>
      </c>
      <c r="D380" s="11">
        <f t="shared" si="88"/>
        <v>17.097863999999998</v>
      </c>
      <c r="E380" s="11">
        <f t="shared" si="89"/>
        <v>8.5064000000000011</v>
      </c>
      <c r="F380" s="15">
        <f t="shared" si="91"/>
        <v>43.400000000000006</v>
      </c>
      <c r="G380" s="15"/>
      <c r="H380" s="14" t="s">
        <v>413</v>
      </c>
    </row>
    <row r="381" spans="2:8" ht="102" x14ac:dyDescent="0.2">
      <c r="B381" s="9">
        <v>379</v>
      </c>
      <c r="C381" s="13" t="s">
        <v>414</v>
      </c>
      <c r="D381" s="11">
        <f>$D$56+$D$56+$D$56+$D$56+$D$56+$D$56+$D$50+D9</f>
        <v>17.269293999999999</v>
      </c>
      <c r="E381" s="11">
        <f>$E$56+$E$56+$E$56+$E$56++$E$56+$E$56+$E$50+E9</f>
        <v>8.8390000000000004</v>
      </c>
      <c r="F381" s="15">
        <f>6.2+6.2+6.2+6.2+6.2+6.2+4.7+3.3</f>
        <v>45.2</v>
      </c>
      <c r="G381" s="15"/>
      <c r="H381" s="14" t="s">
        <v>415</v>
      </c>
    </row>
    <row r="382" spans="2:8" ht="102" x14ac:dyDescent="0.2">
      <c r="B382" s="9">
        <v>380</v>
      </c>
      <c r="C382" s="13" t="s">
        <v>414</v>
      </c>
      <c r="D382" s="11">
        <f t="shared" ref="D382:D393" si="92">$D$56+$D$56+$D$56+$D$56+$D$56+$D$56+$D$50+D10</f>
        <v>17.269293999999999</v>
      </c>
      <c r="E382" s="11">
        <f t="shared" ref="E382:E394" si="93">$E$56+$E$56+$E$56+$E$56++$E$56+$E$56+$E$50+E10</f>
        <v>8.8390000000000004</v>
      </c>
      <c r="F382" s="15">
        <f t="shared" ref="F382:F393" si="94">6.2+6.2+6.2+6.2+6.2+6.2+4.7+3.3</f>
        <v>45.2</v>
      </c>
      <c r="G382" s="15"/>
      <c r="H382" s="14" t="s">
        <v>416</v>
      </c>
    </row>
    <row r="383" spans="2:8" ht="102" x14ac:dyDescent="0.2">
      <c r="B383" s="9">
        <v>381</v>
      </c>
      <c r="C383" s="13" t="s">
        <v>417</v>
      </c>
      <c r="D383" s="11">
        <f t="shared" si="92"/>
        <v>17.428819999999998</v>
      </c>
      <c r="E383" s="11">
        <f t="shared" si="93"/>
        <v>8.8390000000000004</v>
      </c>
      <c r="F383" s="15">
        <f t="shared" si="94"/>
        <v>45.2</v>
      </c>
      <c r="G383" s="15"/>
      <c r="H383" s="14" t="s">
        <v>418</v>
      </c>
    </row>
    <row r="384" spans="2:8" ht="102" x14ac:dyDescent="0.2">
      <c r="B384" s="9">
        <v>382</v>
      </c>
      <c r="C384" s="13" t="s">
        <v>417</v>
      </c>
      <c r="D384" s="11">
        <f t="shared" si="92"/>
        <v>17.428819999999998</v>
      </c>
      <c r="E384" s="11">
        <f t="shared" si="93"/>
        <v>8.8390000000000004</v>
      </c>
      <c r="F384" s="15">
        <f t="shared" si="94"/>
        <v>45.2</v>
      </c>
      <c r="G384" s="15"/>
      <c r="H384" s="14" t="s">
        <v>419</v>
      </c>
    </row>
    <row r="385" spans="2:8" ht="102" x14ac:dyDescent="0.2">
      <c r="B385" s="9">
        <v>383</v>
      </c>
      <c r="C385" s="13" t="s">
        <v>417</v>
      </c>
      <c r="D385" s="11">
        <f t="shared" si="92"/>
        <v>17.428819999999998</v>
      </c>
      <c r="E385" s="11">
        <f t="shared" si="93"/>
        <v>8.8390000000000004</v>
      </c>
      <c r="F385" s="15">
        <f t="shared" si="94"/>
        <v>45.2</v>
      </c>
      <c r="G385" s="15"/>
      <c r="H385" s="14" t="s">
        <v>420</v>
      </c>
    </row>
    <row r="386" spans="2:8" ht="102" x14ac:dyDescent="0.2">
      <c r="B386" s="9">
        <v>384</v>
      </c>
      <c r="C386" s="13" t="s">
        <v>417</v>
      </c>
      <c r="D386" s="11">
        <f t="shared" si="92"/>
        <v>17.428819999999998</v>
      </c>
      <c r="E386" s="11">
        <f t="shared" si="93"/>
        <v>8.8390000000000004</v>
      </c>
      <c r="F386" s="15">
        <f t="shared" si="94"/>
        <v>45.2</v>
      </c>
      <c r="G386" s="15"/>
      <c r="H386" s="14" t="s">
        <v>421</v>
      </c>
    </row>
    <row r="387" spans="2:8" ht="102" x14ac:dyDescent="0.2">
      <c r="B387" s="9">
        <v>385</v>
      </c>
      <c r="C387" s="13" t="s">
        <v>422</v>
      </c>
      <c r="D387" s="11">
        <f t="shared" si="92"/>
        <v>17.557531999999998</v>
      </c>
      <c r="E387" s="11">
        <f t="shared" si="93"/>
        <v>8.8390000000000004</v>
      </c>
      <c r="F387" s="15">
        <f t="shared" si="94"/>
        <v>45.2</v>
      </c>
      <c r="G387" s="15"/>
      <c r="H387" s="14" t="s">
        <v>423</v>
      </c>
    </row>
    <row r="388" spans="2:8" ht="102" x14ac:dyDescent="0.2">
      <c r="B388" s="9">
        <v>386</v>
      </c>
      <c r="C388" s="13" t="s">
        <v>422</v>
      </c>
      <c r="D388" s="11">
        <f t="shared" si="92"/>
        <v>17.557531999999998</v>
      </c>
      <c r="E388" s="11">
        <f t="shared" si="93"/>
        <v>8.8390000000000004</v>
      </c>
      <c r="F388" s="15">
        <f t="shared" si="94"/>
        <v>45.2</v>
      </c>
      <c r="G388" s="15"/>
      <c r="H388" s="14" t="s">
        <v>424</v>
      </c>
    </row>
    <row r="389" spans="2:8" ht="102" x14ac:dyDescent="0.2">
      <c r="B389" s="9">
        <v>387</v>
      </c>
      <c r="C389" s="13" t="s">
        <v>422</v>
      </c>
      <c r="D389" s="11">
        <f t="shared" si="92"/>
        <v>17.557531999999998</v>
      </c>
      <c r="E389" s="11">
        <f t="shared" si="93"/>
        <v>8.8390000000000004</v>
      </c>
      <c r="F389" s="15">
        <f t="shared" si="94"/>
        <v>45.2</v>
      </c>
      <c r="G389" s="15"/>
      <c r="H389" s="14" t="s">
        <v>425</v>
      </c>
    </row>
    <row r="390" spans="2:8" ht="102" x14ac:dyDescent="0.2">
      <c r="B390" s="9">
        <v>388</v>
      </c>
      <c r="C390" s="13" t="s">
        <v>422</v>
      </c>
      <c r="D390" s="11">
        <f t="shared" si="92"/>
        <v>17.557531999999998</v>
      </c>
      <c r="E390" s="11">
        <f t="shared" si="93"/>
        <v>8.8390000000000004</v>
      </c>
      <c r="F390" s="15">
        <f t="shared" si="94"/>
        <v>45.2</v>
      </c>
      <c r="G390" s="15"/>
      <c r="H390" s="14" t="s">
        <v>426</v>
      </c>
    </row>
    <row r="391" spans="2:8" ht="102" x14ac:dyDescent="0.2">
      <c r="B391" s="9">
        <v>389</v>
      </c>
      <c r="C391" s="13" t="s">
        <v>427</v>
      </c>
      <c r="D391" s="11">
        <f t="shared" si="92"/>
        <v>17.613071999999999</v>
      </c>
      <c r="E391" s="11">
        <f t="shared" si="93"/>
        <v>8.8390000000000004</v>
      </c>
      <c r="F391" s="15">
        <f t="shared" si="94"/>
        <v>45.2</v>
      </c>
      <c r="G391" s="15"/>
      <c r="H391" s="14" t="s">
        <v>428</v>
      </c>
    </row>
    <row r="392" spans="2:8" ht="102" x14ac:dyDescent="0.2">
      <c r="B392" s="9">
        <v>390</v>
      </c>
      <c r="C392" s="13" t="s">
        <v>427</v>
      </c>
      <c r="D392" s="11">
        <f t="shared" si="92"/>
        <v>17.613071999999999</v>
      </c>
      <c r="E392" s="11">
        <f t="shared" si="93"/>
        <v>8.8390000000000004</v>
      </c>
      <c r="F392" s="15">
        <f t="shared" si="94"/>
        <v>45.2</v>
      </c>
      <c r="G392" s="15"/>
      <c r="H392" s="14" t="s">
        <v>429</v>
      </c>
    </row>
    <row r="393" spans="2:8" ht="102" x14ac:dyDescent="0.2">
      <c r="B393" s="9">
        <v>391</v>
      </c>
      <c r="C393" s="13" t="s">
        <v>427</v>
      </c>
      <c r="D393" s="11">
        <f t="shared" si="92"/>
        <v>17.613071999999999</v>
      </c>
      <c r="E393" s="11">
        <f t="shared" si="93"/>
        <v>8.8390000000000004</v>
      </c>
      <c r="F393" s="15">
        <f t="shared" si="94"/>
        <v>45.2</v>
      </c>
      <c r="G393" s="15"/>
      <c r="H393" s="14" t="s">
        <v>430</v>
      </c>
    </row>
    <row r="394" spans="2:8" ht="102" x14ac:dyDescent="0.2">
      <c r="B394" s="9">
        <v>392</v>
      </c>
      <c r="C394" s="13" t="s">
        <v>427</v>
      </c>
      <c r="D394" s="11">
        <f>$D$56+$D$56+$D$56+$D$56+$D$56+$D$56+$D$50+D22</f>
        <v>17.613071999999999</v>
      </c>
      <c r="E394" s="11">
        <f t="shared" si="93"/>
        <v>8.8390000000000004</v>
      </c>
      <c r="F394" s="15">
        <f>6.2+6.2+6.2+6.2+6.2+6.2+4.7+3.3</f>
        <v>45.2</v>
      </c>
      <c r="G394" s="15"/>
      <c r="H394" s="14" t="s">
        <v>431</v>
      </c>
    </row>
    <row r="395" spans="2:8" ht="102" x14ac:dyDescent="0.2">
      <c r="B395" s="9">
        <v>393</v>
      </c>
      <c r="C395" s="13" t="s">
        <v>432</v>
      </c>
      <c r="D395" s="11">
        <f t="shared" ref="D395:D399" si="95">$D$56+$D$56+$D$56+$D$56+$D$56+$D$56+$D$56+D17</f>
        <v>17.936723999999998</v>
      </c>
      <c r="E395" s="11">
        <f>$E$56+$E$56+$E$56+$E$56++$E$56+$E$56+$E$56+E17</f>
        <v>9.0210000000000008</v>
      </c>
      <c r="F395" s="15">
        <f>6.2+6.2+6.2+6.2+6.2+6.2+6.2+3.3</f>
        <v>46.7</v>
      </c>
      <c r="G395" s="15"/>
      <c r="H395" s="14" t="s">
        <v>433</v>
      </c>
    </row>
    <row r="396" spans="2:8" ht="102" x14ac:dyDescent="0.2">
      <c r="B396" s="9">
        <v>394</v>
      </c>
      <c r="C396" s="13" t="s">
        <v>432</v>
      </c>
      <c r="D396" s="11">
        <f t="shared" si="95"/>
        <v>17.936723999999998</v>
      </c>
      <c r="E396" s="11">
        <f t="shared" ref="E396:E400" si="96">$E$56+$E$56+$E$56+$E$56++$E$56+$E$56+$E$56+E18</f>
        <v>9.0210000000000008</v>
      </c>
      <c r="F396" s="15">
        <f t="shared" ref="F396:F400" si="97">6.2+6.2+6.2+6.2+6.2+6.2+6.2+3.3</f>
        <v>46.7</v>
      </c>
      <c r="G396" s="15"/>
      <c r="H396" s="14" t="s">
        <v>434</v>
      </c>
    </row>
    <row r="397" spans="2:8" ht="102" x14ac:dyDescent="0.2">
      <c r="B397" s="9">
        <v>395</v>
      </c>
      <c r="C397" s="13" t="s">
        <v>432</v>
      </c>
      <c r="D397" s="11">
        <f t="shared" si="95"/>
        <v>17.992263999999999</v>
      </c>
      <c r="E397" s="11">
        <f t="shared" si="96"/>
        <v>9.0210000000000008</v>
      </c>
      <c r="F397" s="15">
        <f t="shared" si="97"/>
        <v>46.7</v>
      </c>
      <c r="G397" s="15"/>
      <c r="H397" s="14" t="s">
        <v>435</v>
      </c>
    </row>
    <row r="398" spans="2:8" ht="102" x14ac:dyDescent="0.2">
      <c r="B398" s="9">
        <v>396</v>
      </c>
      <c r="C398" s="13" t="s">
        <v>432</v>
      </c>
      <c r="D398" s="11">
        <f t="shared" si="95"/>
        <v>17.992263999999999</v>
      </c>
      <c r="E398" s="11">
        <f t="shared" si="96"/>
        <v>9.0210000000000008</v>
      </c>
      <c r="F398" s="15">
        <f t="shared" si="97"/>
        <v>46.7</v>
      </c>
      <c r="G398" s="15"/>
      <c r="H398" s="14" t="s">
        <v>436</v>
      </c>
    </row>
    <row r="399" spans="2:8" ht="102" x14ac:dyDescent="0.2">
      <c r="B399" s="9">
        <v>397</v>
      </c>
      <c r="C399" s="13" t="s">
        <v>432</v>
      </c>
      <c r="D399" s="11">
        <f t="shared" si="95"/>
        <v>17.992263999999999</v>
      </c>
      <c r="E399" s="11">
        <f t="shared" si="96"/>
        <v>9.0210000000000008</v>
      </c>
      <c r="F399" s="15">
        <f t="shared" si="97"/>
        <v>46.7</v>
      </c>
      <c r="G399" s="15"/>
      <c r="H399" s="14" t="s">
        <v>437</v>
      </c>
    </row>
    <row r="400" spans="2:8" ht="102" x14ac:dyDescent="0.2">
      <c r="B400" s="9">
        <v>398</v>
      </c>
      <c r="C400" s="13" t="s">
        <v>432</v>
      </c>
      <c r="D400" s="11">
        <f>$D$56+$D$56+$D$56+$D$56+$D$56+$D$56+$D$56+D22</f>
        <v>17.992263999999999</v>
      </c>
      <c r="E400" s="11">
        <f t="shared" si="96"/>
        <v>9.0210000000000008</v>
      </c>
      <c r="F400" s="15">
        <f t="shared" si="97"/>
        <v>46.7</v>
      </c>
      <c r="G400" s="15"/>
      <c r="H400" s="14" t="s">
        <v>438</v>
      </c>
    </row>
    <row r="401" spans="2:8" ht="102" x14ac:dyDescent="0.2">
      <c r="B401" s="9">
        <v>399</v>
      </c>
      <c r="C401" s="13" t="s">
        <v>439</v>
      </c>
      <c r="D401" s="11">
        <f>$D$56+$D$56+$D$56+$D$56+$D$56+$D$56+$D$50+D29</f>
        <v>18.190351999999997</v>
      </c>
      <c r="E401" s="11">
        <f>$E$56+$E$56+$E$56+$E$56++$E$56+$E$56+$E$50+E29</f>
        <v>9.3576000000000015</v>
      </c>
      <c r="F401" s="15">
        <f>6.2+6.2+6.2+6.2+6.2+6.2+4.7+4.7</f>
        <v>46.600000000000009</v>
      </c>
      <c r="G401" s="15"/>
      <c r="H401" s="14" t="s">
        <v>440</v>
      </c>
    </row>
    <row r="402" spans="2:8" ht="102" x14ac:dyDescent="0.2">
      <c r="B402" s="9">
        <v>400</v>
      </c>
      <c r="C402" s="13" t="s">
        <v>439</v>
      </c>
      <c r="D402" s="11">
        <f t="shared" ref="D402:D410" si="98">$D$56+$D$56+$D$56+$D$56+$D$56+$D$56+$D$50+D30</f>
        <v>18.190351999999997</v>
      </c>
      <c r="E402" s="11">
        <f t="shared" ref="E402:E410" si="99">$E$56+$E$56+$E$56+$E$56++$E$56+$E$56+$E$50+E30</f>
        <v>9.3576000000000015</v>
      </c>
      <c r="F402" s="15">
        <f t="shared" ref="F402:F410" si="100">6.2+6.2+6.2+6.2+6.2+6.2+4.7+4.7</f>
        <v>46.600000000000009</v>
      </c>
      <c r="G402" s="15"/>
      <c r="H402" s="14" t="s">
        <v>441</v>
      </c>
    </row>
    <row r="403" spans="2:8" ht="102" x14ac:dyDescent="0.2">
      <c r="B403" s="9">
        <v>401</v>
      </c>
      <c r="C403" s="13" t="s">
        <v>439</v>
      </c>
      <c r="D403" s="11">
        <f t="shared" si="98"/>
        <v>18.190351999999997</v>
      </c>
      <c r="E403" s="11">
        <f t="shared" si="99"/>
        <v>9.3576000000000015</v>
      </c>
      <c r="F403" s="15">
        <f t="shared" si="100"/>
        <v>46.600000000000009</v>
      </c>
      <c r="G403" s="15"/>
      <c r="H403" s="14" t="s">
        <v>442</v>
      </c>
    </row>
    <row r="404" spans="2:8" ht="102" x14ac:dyDescent="0.2">
      <c r="B404" s="9">
        <v>402</v>
      </c>
      <c r="C404" s="13" t="s">
        <v>439</v>
      </c>
      <c r="D404" s="11">
        <f t="shared" si="98"/>
        <v>18.190351999999997</v>
      </c>
      <c r="E404" s="11">
        <f t="shared" si="99"/>
        <v>9.3576000000000015</v>
      </c>
      <c r="F404" s="15">
        <f t="shared" si="100"/>
        <v>46.600000000000009</v>
      </c>
      <c r="G404" s="15"/>
      <c r="H404" s="14" t="s">
        <v>443</v>
      </c>
    </row>
    <row r="405" spans="2:8" ht="102" x14ac:dyDescent="0.2">
      <c r="B405" s="9">
        <v>403</v>
      </c>
      <c r="C405" s="13" t="s">
        <v>444</v>
      </c>
      <c r="D405" s="11">
        <f t="shared" si="98"/>
        <v>18.352111999999998</v>
      </c>
      <c r="E405" s="11">
        <f t="shared" si="99"/>
        <v>9.3576000000000015</v>
      </c>
      <c r="F405" s="15">
        <f t="shared" si="100"/>
        <v>46.600000000000009</v>
      </c>
      <c r="G405" s="15"/>
      <c r="H405" s="14" t="s">
        <v>445</v>
      </c>
    </row>
    <row r="406" spans="2:8" ht="102" x14ac:dyDescent="0.2">
      <c r="B406" s="9">
        <v>404</v>
      </c>
      <c r="C406" s="13" t="s">
        <v>444</v>
      </c>
      <c r="D406" s="11">
        <f t="shared" si="98"/>
        <v>18.352111999999998</v>
      </c>
      <c r="E406" s="11">
        <f t="shared" si="99"/>
        <v>9.3576000000000015</v>
      </c>
      <c r="F406" s="15">
        <f t="shared" si="100"/>
        <v>46.600000000000009</v>
      </c>
      <c r="G406" s="15"/>
      <c r="H406" s="14" t="s">
        <v>446</v>
      </c>
    </row>
    <row r="407" spans="2:8" ht="102" x14ac:dyDescent="0.2">
      <c r="B407" s="9">
        <v>405</v>
      </c>
      <c r="C407" s="13" t="s">
        <v>444</v>
      </c>
      <c r="D407" s="11">
        <f t="shared" si="98"/>
        <v>18.352111999999998</v>
      </c>
      <c r="E407" s="11">
        <f t="shared" si="99"/>
        <v>9.3576000000000015</v>
      </c>
      <c r="F407" s="15">
        <f t="shared" si="100"/>
        <v>46.600000000000009</v>
      </c>
      <c r="G407" s="15"/>
      <c r="H407" s="14" t="s">
        <v>447</v>
      </c>
    </row>
    <row r="408" spans="2:8" ht="102" x14ac:dyDescent="0.2">
      <c r="B408" s="9">
        <v>406</v>
      </c>
      <c r="C408" s="13" t="s">
        <v>444</v>
      </c>
      <c r="D408" s="11">
        <f t="shared" si="98"/>
        <v>18.352111999999998</v>
      </c>
      <c r="E408" s="11">
        <f t="shared" si="99"/>
        <v>9.3576000000000015</v>
      </c>
      <c r="F408" s="15">
        <f t="shared" si="100"/>
        <v>46.600000000000009</v>
      </c>
      <c r="G408" s="15"/>
      <c r="H408" s="14" t="s">
        <v>448</v>
      </c>
    </row>
    <row r="409" spans="2:8" ht="102" x14ac:dyDescent="0.2">
      <c r="B409" s="9">
        <v>407</v>
      </c>
      <c r="C409" s="13" t="s">
        <v>444</v>
      </c>
      <c r="D409" s="11">
        <f t="shared" si="98"/>
        <v>18.352111999999998</v>
      </c>
      <c r="E409" s="11">
        <f t="shared" si="99"/>
        <v>9.3576000000000015</v>
      </c>
      <c r="F409" s="15">
        <f t="shared" si="100"/>
        <v>46.600000000000009</v>
      </c>
      <c r="G409" s="15"/>
      <c r="H409" s="14" t="s">
        <v>449</v>
      </c>
    </row>
    <row r="410" spans="2:8" ht="102.75" thickBot="1" x14ac:dyDescent="0.25">
      <c r="B410" s="16">
        <v>408</v>
      </c>
      <c r="C410" s="13" t="s">
        <v>444</v>
      </c>
      <c r="D410" s="11">
        <f t="shared" si="98"/>
        <v>18.352111999999998</v>
      </c>
      <c r="E410" s="11">
        <f t="shared" si="99"/>
        <v>9.3576000000000015</v>
      </c>
      <c r="F410" s="15">
        <f t="shared" si="100"/>
        <v>46.600000000000009</v>
      </c>
      <c r="G410" s="17"/>
      <c r="H410" s="14" t="s">
        <v>450</v>
      </c>
    </row>
    <row r="411" spans="2:8" x14ac:dyDescent="0.2">
      <c r="B411" s="1">
        <v>409</v>
      </c>
    </row>
    <row r="412" spans="2:8" x14ac:dyDescent="0.2">
      <c r="B412" s="1">
        <v>410</v>
      </c>
    </row>
    <row r="413" spans="2:8" x14ac:dyDescent="0.2">
      <c r="B413" s="1">
        <v>411</v>
      </c>
    </row>
    <row r="414" spans="2:8" x14ac:dyDescent="0.2">
      <c r="B414" s="1">
        <v>412</v>
      </c>
    </row>
    <row r="415" spans="2:8" x14ac:dyDescent="0.2">
      <c r="B415" s="1">
        <v>413</v>
      </c>
    </row>
    <row r="416" spans="2:8" x14ac:dyDescent="0.2">
      <c r="B416" s="1">
        <v>414</v>
      </c>
    </row>
    <row r="417" spans="2:2" x14ac:dyDescent="0.2">
      <c r="B417" s="1">
        <v>415</v>
      </c>
    </row>
    <row r="418" spans="2:2" x14ac:dyDescent="0.2">
      <c r="B418" s="1">
        <v>416</v>
      </c>
    </row>
    <row r="419" spans="2:2" x14ac:dyDescent="0.2">
      <c r="B419" s="1">
        <v>417</v>
      </c>
    </row>
    <row r="420" spans="2:2" x14ac:dyDescent="0.2">
      <c r="B420" s="1">
        <v>418</v>
      </c>
    </row>
    <row r="421" spans="2:2" x14ac:dyDescent="0.2">
      <c r="B421" s="1">
        <v>419</v>
      </c>
    </row>
    <row r="422" spans="2:2" x14ac:dyDescent="0.2">
      <c r="B422" s="1">
        <v>420</v>
      </c>
    </row>
    <row r="423" spans="2:2" x14ac:dyDescent="0.2">
      <c r="B423" s="1">
        <v>421</v>
      </c>
    </row>
    <row r="424" spans="2:2" x14ac:dyDescent="0.2">
      <c r="B424" s="1">
        <v>422</v>
      </c>
    </row>
    <row r="425" spans="2:2" x14ac:dyDescent="0.2">
      <c r="B425" s="1">
        <v>423</v>
      </c>
    </row>
    <row r="426" spans="2:2" x14ac:dyDescent="0.2">
      <c r="B426" s="1">
        <v>424</v>
      </c>
    </row>
    <row r="427" spans="2:2" x14ac:dyDescent="0.2">
      <c r="B427" s="1">
        <v>425</v>
      </c>
    </row>
    <row r="428" spans="2:2" x14ac:dyDescent="0.2">
      <c r="B428" s="1">
        <v>426</v>
      </c>
    </row>
    <row r="429" spans="2:2" x14ac:dyDescent="0.2">
      <c r="B429" s="1">
        <v>427</v>
      </c>
    </row>
    <row r="430" spans="2:2" x14ac:dyDescent="0.2">
      <c r="B430" s="1">
        <v>428</v>
      </c>
    </row>
    <row r="431" spans="2:2" x14ac:dyDescent="0.2">
      <c r="B431" s="1">
        <v>429</v>
      </c>
    </row>
    <row r="432" spans="2:2" x14ac:dyDescent="0.2">
      <c r="B432" s="1">
        <v>430</v>
      </c>
    </row>
    <row r="433" spans="2:2" x14ac:dyDescent="0.2">
      <c r="B433" s="1">
        <v>431</v>
      </c>
    </row>
    <row r="434" spans="2:2" x14ac:dyDescent="0.2">
      <c r="B434" s="1">
        <v>432</v>
      </c>
    </row>
    <row r="435" spans="2:2" x14ac:dyDescent="0.2">
      <c r="B435" s="1">
        <v>433</v>
      </c>
    </row>
    <row r="436" spans="2:2" x14ac:dyDescent="0.2">
      <c r="B436" s="1">
        <v>434</v>
      </c>
    </row>
    <row r="437" spans="2:2" x14ac:dyDescent="0.2">
      <c r="B437" s="1">
        <v>435</v>
      </c>
    </row>
    <row r="438" spans="2:2" x14ac:dyDescent="0.2">
      <c r="B438" s="1">
        <v>436</v>
      </c>
    </row>
    <row r="439" spans="2:2" x14ac:dyDescent="0.2">
      <c r="B439" s="1">
        <v>437</v>
      </c>
    </row>
    <row r="440" spans="2:2" x14ac:dyDescent="0.2">
      <c r="B440" s="1">
        <v>438</v>
      </c>
    </row>
    <row r="441" spans="2:2" x14ac:dyDescent="0.2">
      <c r="B441" s="1">
        <v>439</v>
      </c>
    </row>
    <row r="442" spans="2:2" x14ac:dyDescent="0.2">
      <c r="B442" s="1">
        <v>440</v>
      </c>
    </row>
    <row r="443" spans="2:2" x14ac:dyDescent="0.2">
      <c r="B443" s="1">
        <v>441</v>
      </c>
    </row>
    <row r="444" spans="2:2" x14ac:dyDescent="0.2">
      <c r="B444" s="1">
        <v>442</v>
      </c>
    </row>
    <row r="445" spans="2:2" x14ac:dyDescent="0.2">
      <c r="B445" s="1">
        <v>443</v>
      </c>
    </row>
    <row r="446" spans="2:2" x14ac:dyDescent="0.2">
      <c r="B446" s="1">
        <v>444</v>
      </c>
    </row>
    <row r="447" spans="2:2" x14ac:dyDescent="0.2">
      <c r="B447" s="1">
        <v>445</v>
      </c>
    </row>
    <row r="448" spans="2:2" x14ac:dyDescent="0.2">
      <c r="B448" s="1">
        <v>446</v>
      </c>
    </row>
    <row r="449" spans="2:2" x14ac:dyDescent="0.2">
      <c r="B449" s="1">
        <v>447</v>
      </c>
    </row>
    <row r="450" spans="2:2" x14ac:dyDescent="0.2">
      <c r="B450" s="1">
        <v>448</v>
      </c>
    </row>
    <row r="451" spans="2:2" x14ac:dyDescent="0.2">
      <c r="B451" s="1">
        <v>449</v>
      </c>
    </row>
    <row r="452" spans="2:2" x14ac:dyDescent="0.2">
      <c r="B452" s="1">
        <v>450</v>
      </c>
    </row>
    <row r="453" spans="2:2" x14ac:dyDescent="0.2">
      <c r="B453" s="1">
        <v>451</v>
      </c>
    </row>
    <row r="454" spans="2:2" x14ac:dyDescent="0.2">
      <c r="B454" s="1">
        <v>452</v>
      </c>
    </row>
    <row r="455" spans="2:2" x14ac:dyDescent="0.2">
      <c r="B455" s="1">
        <v>453</v>
      </c>
    </row>
    <row r="456" spans="2:2" x14ac:dyDescent="0.2">
      <c r="B456" s="1">
        <v>454</v>
      </c>
    </row>
    <row r="457" spans="2:2" x14ac:dyDescent="0.2">
      <c r="B457" s="1">
        <v>455</v>
      </c>
    </row>
    <row r="458" spans="2:2" x14ac:dyDescent="0.2">
      <c r="B458" s="1">
        <v>456</v>
      </c>
    </row>
    <row r="459" spans="2:2" x14ac:dyDescent="0.2">
      <c r="B459" s="1">
        <v>457</v>
      </c>
    </row>
    <row r="460" spans="2:2" x14ac:dyDescent="0.2">
      <c r="B460" s="1">
        <v>458</v>
      </c>
    </row>
    <row r="461" spans="2:2" x14ac:dyDescent="0.2">
      <c r="B461" s="1">
        <v>459</v>
      </c>
    </row>
    <row r="462" spans="2:2" x14ac:dyDescent="0.2">
      <c r="B462" s="1">
        <v>460</v>
      </c>
    </row>
    <row r="463" spans="2:2" x14ac:dyDescent="0.2">
      <c r="B463" s="1">
        <v>461</v>
      </c>
    </row>
    <row r="464" spans="2:2" x14ac:dyDescent="0.2">
      <c r="B464" s="1">
        <v>462</v>
      </c>
    </row>
    <row r="465" spans="2:2" x14ac:dyDescent="0.2">
      <c r="B465" s="1">
        <v>463</v>
      </c>
    </row>
    <row r="466" spans="2:2" x14ac:dyDescent="0.2">
      <c r="B466" s="1">
        <v>464</v>
      </c>
    </row>
    <row r="467" spans="2:2" x14ac:dyDescent="0.2">
      <c r="B467" s="1">
        <v>465</v>
      </c>
    </row>
    <row r="468" spans="2:2" x14ac:dyDescent="0.2">
      <c r="B468" s="1">
        <v>466</v>
      </c>
    </row>
    <row r="469" spans="2:2" x14ac:dyDescent="0.2">
      <c r="B469" s="1">
        <v>467</v>
      </c>
    </row>
    <row r="470" spans="2:2" x14ac:dyDescent="0.2">
      <c r="B470" s="1">
        <v>468</v>
      </c>
    </row>
    <row r="471" spans="2:2" x14ac:dyDescent="0.2">
      <c r="B471" s="1">
        <v>469</v>
      </c>
    </row>
    <row r="472" spans="2:2" x14ac:dyDescent="0.2">
      <c r="B472" s="1">
        <v>470</v>
      </c>
    </row>
    <row r="473" spans="2:2" x14ac:dyDescent="0.2">
      <c r="B473" s="1">
        <v>471</v>
      </c>
    </row>
    <row r="474" spans="2:2" x14ac:dyDescent="0.2">
      <c r="B474" s="1">
        <v>472</v>
      </c>
    </row>
    <row r="475" spans="2:2" x14ac:dyDescent="0.2">
      <c r="B475" s="1">
        <v>473</v>
      </c>
    </row>
    <row r="476" spans="2:2" x14ac:dyDescent="0.2">
      <c r="B476" s="1">
        <v>474</v>
      </c>
    </row>
    <row r="477" spans="2:2" x14ac:dyDescent="0.2">
      <c r="B477" s="1">
        <v>475</v>
      </c>
    </row>
    <row r="478" spans="2:2" x14ac:dyDescent="0.2">
      <c r="B478" s="1">
        <v>476</v>
      </c>
    </row>
    <row r="479" spans="2:2" x14ac:dyDescent="0.2">
      <c r="B479" s="1">
        <v>477</v>
      </c>
    </row>
    <row r="480" spans="2:2" x14ac:dyDescent="0.2">
      <c r="B480" s="1">
        <v>478</v>
      </c>
    </row>
    <row r="481" spans="2:2" x14ac:dyDescent="0.2">
      <c r="B481" s="1">
        <v>479</v>
      </c>
    </row>
    <row r="482" spans="2:2" x14ac:dyDescent="0.2">
      <c r="B482" s="1">
        <v>480</v>
      </c>
    </row>
    <row r="483" spans="2:2" x14ac:dyDescent="0.2">
      <c r="B483" s="1">
        <v>481</v>
      </c>
    </row>
    <row r="484" spans="2:2" x14ac:dyDescent="0.2">
      <c r="B484" s="1">
        <v>482</v>
      </c>
    </row>
    <row r="485" spans="2:2" x14ac:dyDescent="0.2">
      <c r="B485" s="1">
        <v>483</v>
      </c>
    </row>
    <row r="486" spans="2:2" x14ac:dyDescent="0.2">
      <c r="B486" s="1">
        <v>484</v>
      </c>
    </row>
    <row r="487" spans="2:2" x14ac:dyDescent="0.2">
      <c r="B487" s="1">
        <v>485</v>
      </c>
    </row>
    <row r="488" spans="2:2" x14ac:dyDescent="0.2">
      <c r="B488" s="1">
        <v>486</v>
      </c>
    </row>
    <row r="489" spans="2:2" x14ac:dyDescent="0.2">
      <c r="B489" s="1">
        <v>487</v>
      </c>
    </row>
    <row r="490" spans="2:2" x14ac:dyDescent="0.2">
      <c r="B490" s="1">
        <v>488</v>
      </c>
    </row>
    <row r="491" spans="2:2" x14ac:dyDescent="0.2">
      <c r="B491" s="1">
        <v>489</v>
      </c>
    </row>
    <row r="492" spans="2:2" x14ac:dyDescent="0.2">
      <c r="B492" s="1">
        <v>490</v>
      </c>
    </row>
    <row r="493" spans="2:2" x14ac:dyDescent="0.2">
      <c r="B493" s="1">
        <v>491</v>
      </c>
    </row>
    <row r="494" spans="2:2" x14ac:dyDescent="0.2">
      <c r="B494" s="1">
        <v>492</v>
      </c>
    </row>
    <row r="495" spans="2:2" x14ac:dyDescent="0.2">
      <c r="B495" s="1">
        <v>493</v>
      </c>
    </row>
    <row r="496" spans="2:2" x14ac:dyDescent="0.2">
      <c r="B496" s="1">
        <v>494</v>
      </c>
    </row>
    <row r="497" spans="2:2" x14ac:dyDescent="0.2">
      <c r="B497" s="1">
        <v>495</v>
      </c>
    </row>
    <row r="498" spans="2:2" x14ac:dyDescent="0.2">
      <c r="B498" s="1">
        <v>496</v>
      </c>
    </row>
    <row r="499" spans="2:2" x14ac:dyDescent="0.2">
      <c r="B499" s="1">
        <v>497</v>
      </c>
    </row>
    <row r="500" spans="2:2" x14ac:dyDescent="0.2">
      <c r="B500" s="1">
        <v>498</v>
      </c>
    </row>
    <row r="501" spans="2:2" x14ac:dyDescent="0.2">
      <c r="B501" s="1">
        <v>499</v>
      </c>
    </row>
    <row r="502" spans="2:2" x14ac:dyDescent="0.2">
      <c r="B502" s="1">
        <v>500</v>
      </c>
    </row>
    <row r="503" spans="2:2" x14ac:dyDescent="0.2">
      <c r="B503" s="1">
        <v>501</v>
      </c>
    </row>
    <row r="504" spans="2:2" x14ac:dyDescent="0.2">
      <c r="B504" s="1">
        <v>502</v>
      </c>
    </row>
    <row r="505" spans="2:2" x14ac:dyDescent="0.2">
      <c r="B505" s="1">
        <v>503</v>
      </c>
    </row>
    <row r="506" spans="2:2" x14ac:dyDescent="0.2">
      <c r="B506" s="1">
        <v>504</v>
      </c>
    </row>
    <row r="507" spans="2:2" x14ac:dyDescent="0.2">
      <c r="B507" s="1">
        <v>505</v>
      </c>
    </row>
    <row r="508" spans="2:2" x14ac:dyDescent="0.2">
      <c r="B508" s="1">
        <v>506</v>
      </c>
    </row>
    <row r="509" spans="2:2" x14ac:dyDescent="0.2">
      <c r="B509" s="1">
        <v>507</v>
      </c>
    </row>
    <row r="510" spans="2:2" x14ac:dyDescent="0.2">
      <c r="B510" s="1">
        <v>508</v>
      </c>
    </row>
    <row r="511" spans="2:2" x14ac:dyDescent="0.2">
      <c r="B511" s="1">
        <v>509</v>
      </c>
    </row>
    <row r="512" spans="2:2" x14ac:dyDescent="0.2">
      <c r="B512" s="1">
        <v>510</v>
      </c>
    </row>
    <row r="513" spans="2:2" x14ac:dyDescent="0.2">
      <c r="B513" s="1">
        <v>511</v>
      </c>
    </row>
    <row r="514" spans="2:2" x14ac:dyDescent="0.2">
      <c r="B514" s="1">
        <v>512</v>
      </c>
    </row>
    <row r="515" spans="2:2" x14ac:dyDescent="0.2">
      <c r="B515" s="1">
        <v>513</v>
      </c>
    </row>
    <row r="516" spans="2:2" x14ac:dyDescent="0.2">
      <c r="B516" s="1">
        <v>514</v>
      </c>
    </row>
    <row r="517" spans="2:2" x14ac:dyDescent="0.2">
      <c r="B517" s="1">
        <v>515</v>
      </c>
    </row>
    <row r="518" spans="2:2" x14ac:dyDescent="0.2">
      <c r="B518" s="1">
        <v>516</v>
      </c>
    </row>
    <row r="519" spans="2:2" x14ac:dyDescent="0.2">
      <c r="B519" s="1">
        <v>517</v>
      </c>
    </row>
    <row r="520" spans="2:2" x14ac:dyDescent="0.2">
      <c r="B520" s="1">
        <v>518</v>
      </c>
    </row>
    <row r="521" spans="2:2" x14ac:dyDescent="0.2">
      <c r="B521" s="1">
        <v>519</v>
      </c>
    </row>
    <row r="522" spans="2:2" x14ac:dyDescent="0.2">
      <c r="B522" s="1">
        <v>520</v>
      </c>
    </row>
    <row r="523" spans="2:2" x14ac:dyDescent="0.2">
      <c r="B523" s="1">
        <v>521</v>
      </c>
    </row>
    <row r="524" spans="2:2" x14ac:dyDescent="0.2">
      <c r="B524" s="1">
        <v>522</v>
      </c>
    </row>
    <row r="525" spans="2:2" x14ac:dyDescent="0.2">
      <c r="B525" s="1">
        <v>523</v>
      </c>
    </row>
    <row r="526" spans="2:2" x14ac:dyDescent="0.2">
      <c r="B526" s="1">
        <v>524</v>
      </c>
    </row>
    <row r="527" spans="2:2" x14ac:dyDescent="0.2">
      <c r="B527" s="1">
        <v>525</v>
      </c>
    </row>
    <row r="528" spans="2:2" x14ac:dyDescent="0.2">
      <c r="B528" s="1">
        <v>526</v>
      </c>
    </row>
    <row r="529" spans="2:2" x14ac:dyDescent="0.2">
      <c r="B529" s="1">
        <v>527</v>
      </c>
    </row>
    <row r="530" spans="2:2" x14ac:dyDescent="0.2">
      <c r="B530" s="1">
        <v>528</v>
      </c>
    </row>
    <row r="531" spans="2:2" x14ac:dyDescent="0.2">
      <c r="B531" s="1">
        <v>529</v>
      </c>
    </row>
    <row r="532" spans="2:2" x14ac:dyDescent="0.2">
      <c r="B532" s="1">
        <v>530</v>
      </c>
    </row>
    <row r="533" spans="2:2" x14ac:dyDescent="0.2">
      <c r="B533" s="1">
        <v>531</v>
      </c>
    </row>
    <row r="534" spans="2:2" x14ac:dyDescent="0.2">
      <c r="B534" s="1">
        <v>532</v>
      </c>
    </row>
    <row r="535" spans="2:2" x14ac:dyDescent="0.2">
      <c r="B535" s="1">
        <v>533</v>
      </c>
    </row>
    <row r="536" spans="2:2" x14ac:dyDescent="0.2">
      <c r="B536" s="1">
        <v>534</v>
      </c>
    </row>
    <row r="537" spans="2:2" x14ac:dyDescent="0.2">
      <c r="B537" s="1">
        <v>535</v>
      </c>
    </row>
    <row r="538" spans="2:2" x14ac:dyDescent="0.2">
      <c r="B538" s="1">
        <v>536</v>
      </c>
    </row>
    <row r="539" spans="2:2" x14ac:dyDescent="0.2">
      <c r="B539" s="1">
        <v>537</v>
      </c>
    </row>
    <row r="540" spans="2:2" x14ac:dyDescent="0.2">
      <c r="B540" s="1">
        <v>538</v>
      </c>
    </row>
    <row r="541" spans="2:2" x14ac:dyDescent="0.2">
      <c r="B541" s="1">
        <v>539</v>
      </c>
    </row>
    <row r="542" spans="2:2" x14ac:dyDescent="0.2">
      <c r="B542" s="1">
        <v>540</v>
      </c>
    </row>
    <row r="543" spans="2:2" x14ac:dyDescent="0.2">
      <c r="B543" s="1">
        <v>541</v>
      </c>
    </row>
    <row r="544" spans="2:2" x14ac:dyDescent="0.2">
      <c r="B544" s="1">
        <v>542</v>
      </c>
    </row>
    <row r="545" spans="2:2" x14ac:dyDescent="0.2">
      <c r="B545" s="1">
        <v>543</v>
      </c>
    </row>
    <row r="546" spans="2:2" x14ac:dyDescent="0.2">
      <c r="B546" s="1">
        <v>544</v>
      </c>
    </row>
    <row r="547" spans="2:2" x14ac:dyDescent="0.2">
      <c r="B547" s="1">
        <v>545</v>
      </c>
    </row>
    <row r="548" spans="2:2" x14ac:dyDescent="0.2">
      <c r="B548" s="1">
        <v>546</v>
      </c>
    </row>
    <row r="549" spans="2:2" x14ac:dyDescent="0.2">
      <c r="B549" s="1">
        <v>547</v>
      </c>
    </row>
    <row r="550" spans="2:2" x14ac:dyDescent="0.2">
      <c r="B550" s="1">
        <v>548</v>
      </c>
    </row>
    <row r="551" spans="2:2" x14ac:dyDescent="0.2">
      <c r="B551" s="1">
        <v>549</v>
      </c>
    </row>
    <row r="552" spans="2:2" x14ac:dyDescent="0.2">
      <c r="B552" s="1">
        <v>550</v>
      </c>
    </row>
    <row r="553" spans="2:2" x14ac:dyDescent="0.2">
      <c r="B553" s="1">
        <v>551</v>
      </c>
    </row>
    <row r="554" spans="2:2" x14ac:dyDescent="0.2">
      <c r="B554" s="1">
        <v>552</v>
      </c>
    </row>
    <row r="555" spans="2:2" x14ac:dyDescent="0.2">
      <c r="B555" s="1">
        <v>553</v>
      </c>
    </row>
    <row r="556" spans="2:2" x14ac:dyDescent="0.2">
      <c r="B556" s="1">
        <v>554</v>
      </c>
    </row>
    <row r="557" spans="2:2" x14ac:dyDescent="0.2">
      <c r="B557" s="1">
        <v>555</v>
      </c>
    </row>
    <row r="558" spans="2:2" x14ac:dyDescent="0.2">
      <c r="B558" s="1">
        <v>556</v>
      </c>
    </row>
    <row r="559" spans="2:2" x14ac:dyDescent="0.2">
      <c r="B559" s="1">
        <v>557</v>
      </c>
    </row>
    <row r="560" spans="2:2" x14ac:dyDescent="0.2">
      <c r="B560" s="1">
        <v>558</v>
      </c>
    </row>
    <row r="561" spans="2:2" x14ac:dyDescent="0.2">
      <c r="B561" s="1">
        <v>559</v>
      </c>
    </row>
    <row r="562" spans="2:2" x14ac:dyDescent="0.2">
      <c r="B562" s="1">
        <v>560</v>
      </c>
    </row>
    <row r="563" spans="2:2" x14ac:dyDescent="0.2">
      <c r="B563" s="1">
        <v>561</v>
      </c>
    </row>
    <row r="564" spans="2:2" x14ac:dyDescent="0.2">
      <c r="B564" s="1">
        <v>562</v>
      </c>
    </row>
    <row r="565" spans="2:2" x14ac:dyDescent="0.2">
      <c r="B565" s="1">
        <v>563</v>
      </c>
    </row>
    <row r="566" spans="2:2" x14ac:dyDescent="0.2">
      <c r="B566" s="1">
        <v>564</v>
      </c>
    </row>
    <row r="567" spans="2:2" x14ac:dyDescent="0.2">
      <c r="B567" s="1">
        <v>565</v>
      </c>
    </row>
    <row r="568" spans="2:2" x14ac:dyDescent="0.2">
      <c r="B568" s="1">
        <v>566</v>
      </c>
    </row>
    <row r="569" spans="2:2" x14ac:dyDescent="0.2">
      <c r="B569" s="1">
        <v>567</v>
      </c>
    </row>
    <row r="570" spans="2:2" x14ac:dyDescent="0.2">
      <c r="B570" s="1">
        <v>568</v>
      </c>
    </row>
    <row r="571" spans="2:2" x14ac:dyDescent="0.2">
      <c r="B571" s="1">
        <v>569</v>
      </c>
    </row>
    <row r="572" spans="2:2" x14ac:dyDescent="0.2">
      <c r="B572" s="1">
        <v>570</v>
      </c>
    </row>
    <row r="573" spans="2:2" x14ac:dyDescent="0.2">
      <c r="B573" s="1">
        <v>571</v>
      </c>
    </row>
    <row r="574" spans="2:2" x14ac:dyDescent="0.2">
      <c r="B574" s="1">
        <v>572</v>
      </c>
    </row>
    <row r="575" spans="2:2" x14ac:dyDescent="0.2">
      <c r="B575" s="1">
        <v>573</v>
      </c>
    </row>
    <row r="576" spans="2:2" x14ac:dyDescent="0.2">
      <c r="B576" s="1">
        <v>574</v>
      </c>
    </row>
    <row r="577" spans="2:2" x14ac:dyDescent="0.2">
      <c r="B577" s="1">
        <v>575</v>
      </c>
    </row>
    <row r="578" spans="2:2" x14ac:dyDescent="0.2">
      <c r="B578" s="1">
        <v>576</v>
      </c>
    </row>
    <row r="579" spans="2:2" x14ac:dyDescent="0.2">
      <c r="B579" s="1">
        <v>577</v>
      </c>
    </row>
    <row r="580" spans="2:2" x14ac:dyDescent="0.2">
      <c r="B580" s="1">
        <v>578</v>
      </c>
    </row>
    <row r="581" spans="2:2" x14ac:dyDescent="0.2">
      <c r="B581" s="1">
        <v>579</v>
      </c>
    </row>
    <row r="582" spans="2:2" x14ac:dyDescent="0.2">
      <c r="B582" s="1">
        <v>580</v>
      </c>
    </row>
    <row r="583" spans="2:2" x14ac:dyDescent="0.2">
      <c r="B583" s="1">
        <v>581</v>
      </c>
    </row>
    <row r="584" spans="2:2" x14ac:dyDescent="0.2">
      <c r="B584" s="1">
        <v>582</v>
      </c>
    </row>
    <row r="585" spans="2:2" x14ac:dyDescent="0.2">
      <c r="B585" s="1">
        <v>583</v>
      </c>
    </row>
    <row r="586" spans="2:2" x14ac:dyDescent="0.2">
      <c r="B586" s="1">
        <v>584</v>
      </c>
    </row>
    <row r="587" spans="2:2" x14ac:dyDescent="0.2">
      <c r="B587" s="1">
        <v>585</v>
      </c>
    </row>
    <row r="588" spans="2:2" x14ac:dyDescent="0.2">
      <c r="B588" s="1">
        <v>586</v>
      </c>
    </row>
    <row r="589" spans="2:2" x14ac:dyDescent="0.2">
      <c r="B589" s="1">
        <v>587</v>
      </c>
    </row>
    <row r="590" spans="2:2" x14ac:dyDescent="0.2">
      <c r="B590" s="1">
        <v>588</v>
      </c>
    </row>
    <row r="591" spans="2:2" x14ac:dyDescent="0.2">
      <c r="B591" s="1">
        <v>589</v>
      </c>
    </row>
    <row r="592" spans="2:2" x14ac:dyDescent="0.2">
      <c r="B592" s="1">
        <v>590</v>
      </c>
    </row>
    <row r="593" spans="2:2" x14ac:dyDescent="0.2">
      <c r="B593" s="1">
        <v>591</v>
      </c>
    </row>
    <row r="594" spans="2:2" x14ac:dyDescent="0.2">
      <c r="B594" s="1">
        <v>592</v>
      </c>
    </row>
    <row r="595" spans="2:2" x14ac:dyDescent="0.2">
      <c r="B595" s="1">
        <v>593</v>
      </c>
    </row>
    <row r="596" spans="2:2" x14ac:dyDescent="0.2">
      <c r="B596" s="1">
        <v>594</v>
      </c>
    </row>
    <row r="597" spans="2:2" x14ac:dyDescent="0.2">
      <c r="B597" s="1">
        <v>595</v>
      </c>
    </row>
    <row r="598" spans="2:2" x14ac:dyDescent="0.2">
      <c r="B598" s="1">
        <v>596</v>
      </c>
    </row>
    <row r="599" spans="2:2" x14ac:dyDescent="0.2">
      <c r="B599" s="1">
        <v>597</v>
      </c>
    </row>
    <row r="600" spans="2:2" x14ac:dyDescent="0.2">
      <c r="B600" s="1">
        <v>598</v>
      </c>
    </row>
    <row r="601" spans="2:2" x14ac:dyDescent="0.2">
      <c r="B601" s="1">
        <v>599</v>
      </c>
    </row>
    <row r="602" spans="2:2" x14ac:dyDescent="0.2">
      <c r="B602" s="1">
        <v>600</v>
      </c>
    </row>
    <row r="603" spans="2:2" x14ac:dyDescent="0.2">
      <c r="B603" s="1">
        <v>601</v>
      </c>
    </row>
    <row r="604" spans="2:2" x14ac:dyDescent="0.2">
      <c r="B604" s="1">
        <v>602</v>
      </c>
    </row>
    <row r="605" spans="2:2" x14ac:dyDescent="0.2">
      <c r="B605" s="1">
        <v>603</v>
      </c>
    </row>
    <row r="606" spans="2:2" x14ac:dyDescent="0.2">
      <c r="B606" s="1">
        <v>604</v>
      </c>
    </row>
    <row r="607" spans="2:2" x14ac:dyDescent="0.2">
      <c r="B607" s="1">
        <v>605</v>
      </c>
    </row>
    <row r="608" spans="2:2" x14ac:dyDescent="0.2">
      <c r="B608" s="1">
        <v>606</v>
      </c>
    </row>
    <row r="609" spans="2:2" x14ac:dyDescent="0.2">
      <c r="B609" s="1">
        <v>607</v>
      </c>
    </row>
    <row r="610" spans="2:2" x14ac:dyDescent="0.2">
      <c r="B610" s="1">
        <v>608</v>
      </c>
    </row>
    <row r="611" spans="2:2" x14ac:dyDescent="0.2">
      <c r="B611" s="1">
        <v>609</v>
      </c>
    </row>
    <row r="612" spans="2:2" x14ac:dyDescent="0.2">
      <c r="B612" s="1">
        <v>610</v>
      </c>
    </row>
    <row r="613" spans="2:2" x14ac:dyDescent="0.2">
      <c r="B613" s="1">
        <v>611</v>
      </c>
    </row>
    <row r="614" spans="2:2" x14ac:dyDescent="0.2">
      <c r="B614" s="1">
        <v>612</v>
      </c>
    </row>
    <row r="615" spans="2:2" x14ac:dyDescent="0.2">
      <c r="B615" s="1">
        <v>613</v>
      </c>
    </row>
    <row r="616" spans="2:2" x14ac:dyDescent="0.2">
      <c r="B616" s="1">
        <v>614</v>
      </c>
    </row>
    <row r="617" spans="2:2" x14ac:dyDescent="0.2">
      <c r="B617" s="1">
        <v>615</v>
      </c>
    </row>
    <row r="618" spans="2:2" x14ac:dyDescent="0.2">
      <c r="B618" s="1">
        <v>616</v>
      </c>
    </row>
    <row r="619" spans="2:2" x14ac:dyDescent="0.2">
      <c r="B619" s="1">
        <v>617</v>
      </c>
    </row>
    <row r="620" spans="2:2" x14ac:dyDescent="0.2">
      <c r="B620" s="1">
        <v>618</v>
      </c>
    </row>
    <row r="621" spans="2:2" x14ac:dyDescent="0.2">
      <c r="B621" s="1">
        <v>619</v>
      </c>
    </row>
    <row r="622" spans="2:2" x14ac:dyDescent="0.2">
      <c r="B622" s="1">
        <v>620</v>
      </c>
    </row>
    <row r="623" spans="2:2" x14ac:dyDescent="0.2">
      <c r="B623" s="1">
        <v>621</v>
      </c>
    </row>
    <row r="624" spans="2:2" x14ac:dyDescent="0.2">
      <c r="B624" s="1">
        <v>622</v>
      </c>
    </row>
    <row r="625" spans="2:2" x14ac:dyDescent="0.2">
      <c r="B625" s="1">
        <v>623</v>
      </c>
    </row>
    <row r="626" spans="2:2" x14ac:dyDescent="0.2">
      <c r="B626" s="1">
        <v>624</v>
      </c>
    </row>
    <row r="627" spans="2:2" x14ac:dyDescent="0.2">
      <c r="B627" s="1">
        <v>625</v>
      </c>
    </row>
    <row r="628" spans="2:2" x14ac:dyDescent="0.2">
      <c r="B628" s="1">
        <v>626</v>
      </c>
    </row>
    <row r="629" spans="2:2" x14ac:dyDescent="0.2">
      <c r="B629" s="1">
        <v>627</v>
      </c>
    </row>
    <row r="630" spans="2:2" x14ac:dyDescent="0.2">
      <c r="B630" s="1">
        <v>628</v>
      </c>
    </row>
    <row r="631" spans="2:2" x14ac:dyDescent="0.2">
      <c r="B631" s="1">
        <v>629</v>
      </c>
    </row>
    <row r="632" spans="2:2" x14ac:dyDescent="0.2">
      <c r="B632" s="1">
        <v>630</v>
      </c>
    </row>
    <row r="633" spans="2:2" x14ac:dyDescent="0.2">
      <c r="B633" s="1">
        <v>631</v>
      </c>
    </row>
    <row r="634" spans="2:2" x14ac:dyDescent="0.2">
      <c r="B634" s="1">
        <v>632</v>
      </c>
    </row>
    <row r="635" spans="2:2" x14ac:dyDescent="0.2">
      <c r="B635" s="1">
        <v>633</v>
      </c>
    </row>
    <row r="636" spans="2:2" x14ac:dyDescent="0.2">
      <c r="B636" s="1">
        <v>634</v>
      </c>
    </row>
    <row r="637" spans="2:2" x14ac:dyDescent="0.2">
      <c r="B637" s="1">
        <v>635</v>
      </c>
    </row>
    <row r="638" spans="2:2" x14ac:dyDescent="0.2">
      <c r="B638" s="1">
        <v>636</v>
      </c>
    </row>
    <row r="639" spans="2:2" x14ac:dyDescent="0.2">
      <c r="B639" s="1">
        <v>637</v>
      </c>
    </row>
    <row r="640" spans="2:2" x14ac:dyDescent="0.2">
      <c r="B640" s="1">
        <v>638</v>
      </c>
    </row>
    <row r="641" spans="2:2" x14ac:dyDescent="0.2">
      <c r="B641" s="1">
        <v>639</v>
      </c>
    </row>
    <row r="642" spans="2:2" x14ac:dyDescent="0.2">
      <c r="B642" s="1">
        <v>640</v>
      </c>
    </row>
    <row r="643" spans="2:2" x14ac:dyDescent="0.2">
      <c r="B643" s="1">
        <v>641</v>
      </c>
    </row>
    <row r="644" spans="2:2" x14ac:dyDescent="0.2">
      <c r="B644" s="1">
        <v>642</v>
      </c>
    </row>
    <row r="645" spans="2:2" x14ac:dyDescent="0.2">
      <c r="B645" s="1">
        <v>643</v>
      </c>
    </row>
    <row r="646" spans="2:2" x14ac:dyDescent="0.2">
      <c r="B646" s="1">
        <v>644</v>
      </c>
    </row>
    <row r="647" spans="2:2" x14ac:dyDescent="0.2">
      <c r="B647" s="1">
        <v>645</v>
      </c>
    </row>
    <row r="648" spans="2:2" x14ac:dyDescent="0.2">
      <c r="B648" s="1">
        <v>646</v>
      </c>
    </row>
    <row r="649" spans="2:2" x14ac:dyDescent="0.2">
      <c r="B649" s="1">
        <v>647</v>
      </c>
    </row>
    <row r="650" spans="2:2" x14ac:dyDescent="0.2">
      <c r="B650" s="1">
        <v>648</v>
      </c>
    </row>
    <row r="651" spans="2:2" x14ac:dyDescent="0.2">
      <c r="B651" s="1">
        <v>649</v>
      </c>
    </row>
    <row r="652" spans="2:2" x14ac:dyDescent="0.2">
      <c r="B652" s="1">
        <v>650</v>
      </c>
    </row>
    <row r="653" spans="2:2" x14ac:dyDescent="0.2">
      <c r="B653" s="1">
        <v>651</v>
      </c>
    </row>
    <row r="654" spans="2:2" x14ac:dyDescent="0.2">
      <c r="B654" s="1">
        <v>652</v>
      </c>
    </row>
    <row r="655" spans="2:2" x14ac:dyDescent="0.2">
      <c r="B655" s="1">
        <v>653</v>
      </c>
    </row>
    <row r="656" spans="2:2" x14ac:dyDescent="0.2">
      <c r="B656" s="1">
        <v>654</v>
      </c>
    </row>
    <row r="657" spans="2:2" x14ac:dyDescent="0.2">
      <c r="B657" s="1">
        <v>655</v>
      </c>
    </row>
    <row r="658" spans="2:2" x14ac:dyDescent="0.2">
      <c r="B658" s="1">
        <v>656</v>
      </c>
    </row>
    <row r="659" spans="2:2" x14ac:dyDescent="0.2">
      <c r="B659" s="1">
        <v>657</v>
      </c>
    </row>
    <row r="660" spans="2:2" x14ac:dyDescent="0.2">
      <c r="B660" s="1">
        <v>658</v>
      </c>
    </row>
    <row r="661" spans="2:2" x14ac:dyDescent="0.2">
      <c r="B661" s="1">
        <v>659</v>
      </c>
    </row>
    <row r="662" spans="2:2" x14ac:dyDescent="0.2">
      <c r="B662" s="1">
        <v>660</v>
      </c>
    </row>
    <row r="663" spans="2:2" x14ac:dyDescent="0.2">
      <c r="B663" s="1">
        <v>661</v>
      </c>
    </row>
    <row r="664" spans="2:2" x14ac:dyDescent="0.2">
      <c r="B664" s="1">
        <v>662</v>
      </c>
    </row>
    <row r="665" spans="2:2" x14ac:dyDescent="0.2">
      <c r="B665" s="1">
        <v>663</v>
      </c>
    </row>
    <row r="666" spans="2:2" x14ac:dyDescent="0.2">
      <c r="B666" s="1">
        <v>664</v>
      </c>
    </row>
    <row r="667" spans="2:2" x14ac:dyDescent="0.2">
      <c r="B667" s="1">
        <v>665</v>
      </c>
    </row>
    <row r="668" spans="2:2" x14ac:dyDescent="0.2">
      <c r="B668" s="1">
        <v>666</v>
      </c>
    </row>
    <row r="669" spans="2:2" x14ac:dyDescent="0.2">
      <c r="B669" s="1">
        <v>667</v>
      </c>
    </row>
    <row r="670" spans="2:2" x14ac:dyDescent="0.2">
      <c r="B670" s="1">
        <v>668</v>
      </c>
    </row>
    <row r="671" spans="2:2" x14ac:dyDescent="0.2">
      <c r="B671" s="1">
        <v>669</v>
      </c>
    </row>
    <row r="672" spans="2:2" x14ac:dyDescent="0.2">
      <c r="B672" s="1">
        <v>670</v>
      </c>
    </row>
    <row r="673" spans="2:2" x14ac:dyDescent="0.2">
      <c r="B673" s="1">
        <v>671</v>
      </c>
    </row>
    <row r="674" spans="2:2" x14ac:dyDescent="0.2">
      <c r="B674" s="1">
        <v>672</v>
      </c>
    </row>
    <row r="675" spans="2:2" x14ac:dyDescent="0.2">
      <c r="B675" s="1">
        <v>673</v>
      </c>
    </row>
    <row r="676" spans="2:2" x14ac:dyDescent="0.2">
      <c r="B676" s="1">
        <v>674</v>
      </c>
    </row>
    <row r="677" spans="2:2" x14ac:dyDescent="0.2">
      <c r="B677" s="1">
        <v>675</v>
      </c>
    </row>
    <row r="678" spans="2:2" x14ac:dyDescent="0.2">
      <c r="B678" s="1">
        <v>676</v>
      </c>
    </row>
    <row r="679" spans="2:2" x14ac:dyDescent="0.2">
      <c r="B679" s="1">
        <v>677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RISULTATI SPEDIZIONE</vt:lpstr>
      <vt:lpstr>SCATOLE E DIMENSIONI</vt:lpstr>
      <vt:lpstr>DATA BASE OTTIMIZZAZIONE PALLET</vt:lpstr>
      <vt:lpstr>DATA BASE CALCOLO VOLUMI</vt:lpstr>
      <vt:lpstr>RIEMPIRE CON SCAT. NATALINI</vt:lpstr>
      <vt:lpstr>Foglio4</vt:lpstr>
      <vt:lpstr>RIEMPIRE CON SCAT. NEUTRE</vt:lpstr>
      <vt:lpstr>DIMENSIONI</vt:lpstr>
      <vt:lpstr>DIMENSIONI!Area_stampa</vt:lpstr>
      <vt:lpstr>'RIEMPIRE CON SCAT. NATALINI'!Area_stampa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Paola Patelli</cp:lastModifiedBy>
  <cp:lastPrinted>2019-10-22T09:38:08Z</cp:lastPrinted>
  <dcterms:created xsi:type="dcterms:W3CDTF">2017-11-09T13:18:03Z</dcterms:created>
  <dcterms:modified xsi:type="dcterms:W3CDTF">2020-07-20T19:22:04Z</dcterms:modified>
</cp:coreProperties>
</file>